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C:\Users\watanabe\Downloads\kotou2.12edit\"/>
    </mc:Choice>
  </mc:AlternateContent>
  <bookViews>
    <workbookView xWindow="480" yWindow="120" windowWidth="18315" windowHeight="8490"/>
  </bookViews>
  <sheets>
    <sheet name="色々" sheetId="1" r:id="rId1"/>
    <sheet name="アイテム" sheetId="3" r:id="rId2"/>
    <sheet name="宝" sheetId="5" r:id="rId3"/>
    <sheet name="モンスター" sheetId="4" r:id="rId4"/>
    <sheet name="フラグ" sheetId="6" r:id="rId5"/>
  </sheets>
  <calcPr calcId="162913"/>
</workbook>
</file>

<file path=xl/calcChain.xml><?xml version="1.0" encoding="utf-8"?>
<calcChain xmlns="http://schemas.openxmlformats.org/spreadsheetml/2006/main">
  <c r="E47" i="5" l="1"/>
  <c r="E46" i="5"/>
  <c r="C23" i="1" l="1"/>
  <c r="E122" i="5"/>
  <c r="E121" i="5"/>
  <c r="E89" i="5" l="1"/>
  <c r="E88" i="5"/>
  <c r="E87" i="5"/>
  <c r="E136" i="5" l="1"/>
  <c r="E135" i="5"/>
  <c r="E134" i="5"/>
  <c r="E51" i="5"/>
  <c r="E50" i="5"/>
  <c r="E160" i="5"/>
  <c r="E159" i="5"/>
  <c r="E158" i="5"/>
  <c r="E157" i="5"/>
  <c r="E155" i="5"/>
  <c r="E154" i="5"/>
  <c r="E153" i="5"/>
  <c r="E152" i="5"/>
  <c r="E150" i="5"/>
  <c r="E149" i="5"/>
  <c r="E148" i="5"/>
  <c r="E147" i="5"/>
  <c r="E146" i="5"/>
  <c r="E145" i="5"/>
  <c r="E144" i="5"/>
  <c r="E143" i="5"/>
  <c r="E142" i="5"/>
  <c r="E141" i="5"/>
  <c r="E140" i="5"/>
  <c r="E139" i="5"/>
  <c r="E138" i="5"/>
  <c r="E137" i="5"/>
  <c r="E133" i="5"/>
  <c r="E132" i="5"/>
  <c r="E130" i="5"/>
  <c r="E131" i="5"/>
  <c r="E129" i="5"/>
  <c r="E128" i="5"/>
  <c r="E127" i="5"/>
  <c r="E126" i="5"/>
  <c r="E125" i="5"/>
  <c r="E124" i="5"/>
  <c r="E123" i="5"/>
  <c r="E120" i="5"/>
  <c r="E119" i="5"/>
  <c r="E118" i="5"/>
  <c r="E117" i="5"/>
  <c r="E116" i="5"/>
  <c r="E115" i="5"/>
  <c r="E114" i="5"/>
  <c r="E113" i="5"/>
  <c r="E112" i="5"/>
  <c r="E111" i="5"/>
  <c r="E110" i="5"/>
  <c r="E109" i="5"/>
  <c r="E108" i="5"/>
  <c r="E107" i="5"/>
  <c r="E104" i="5"/>
  <c r="E105" i="5"/>
  <c r="E106" i="5"/>
  <c r="E103" i="5"/>
  <c r="E102" i="5"/>
  <c r="E101" i="5"/>
  <c r="E100" i="5"/>
  <c r="E99" i="5"/>
  <c r="E98" i="5"/>
  <c r="E97" i="5"/>
  <c r="E96" i="5"/>
  <c r="E95" i="5"/>
  <c r="E93" i="5"/>
  <c r="E94" i="5"/>
  <c r="E92" i="5"/>
  <c r="E91" i="5"/>
  <c r="E90" i="5"/>
  <c r="E86" i="5"/>
  <c r="E85" i="5"/>
  <c r="E84" i="5"/>
  <c r="E81" i="5"/>
  <c r="E80" i="5"/>
  <c r="E79" i="5"/>
  <c r="E78" i="5"/>
  <c r="E77" i="5"/>
  <c r="E75" i="5"/>
  <c r="E76" i="5"/>
  <c r="E73" i="5"/>
  <c r="E74" i="5"/>
  <c r="E72" i="5"/>
  <c r="E71" i="5"/>
  <c r="E70" i="5"/>
  <c r="E69" i="5"/>
  <c r="E68" i="5"/>
  <c r="E67" i="5"/>
  <c r="E66" i="5"/>
  <c r="E65" i="5"/>
  <c r="E64" i="5"/>
  <c r="E63" i="5"/>
  <c r="E61" i="5"/>
  <c r="E60" i="5"/>
  <c r="E59" i="5"/>
  <c r="E58" i="5"/>
  <c r="E55" i="5"/>
  <c r="E54" i="5"/>
  <c r="E83" i="5"/>
  <c r="E82" i="5"/>
  <c r="C42" i="5"/>
  <c r="E42" i="5"/>
  <c r="D42" i="5"/>
  <c r="K11" i="1" l="1"/>
  <c r="C24" i="1" l="1"/>
  <c r="C25" i="1"/>
  <c r="C26" i="1"/>
  <c r="C27" i="1"/>
  <c r="C28" i="1"/>
  <c r="C29" i="1"/>
  <c r="C30" i="1"/>
  <c r="C31" i="1"/>
  <c r="C32" i="1"/>
  <c r="C33" i="1"/>
  <c r="C34" i="1"/>
  <c r="C35" i="1"/>
  <c r="C36" i="1"/>
  <c r="C37" i="1"/>
  <c r="R210" i="4" l="1"/>
  <c r="D210" i="4"/>
  <c r="P210" i="4" s="1"/>
  <c r="R209" i="4"/>
  <c r="D209" i="4"/>
  <c r="P209" i="4" s="1"/>
  <c r="L12" i="1" l="1"/>
  <c r="L40" i="1" s="1"/>
  <c r="L13" i="1"/>
  <c r="L39" i="1" s="1"/>
  <c r="L14" i="1"/>
  <c r="L38" i="1" s="1"/>
  <c r="L15" i="1"/>
  <c r="L37" i="1" s="1"/>
  <c r="L16" i="1"/>
  <c r="L36" i="1" s="1"/>
  <c r="L17" i="1"/>
  <c r="L35" i="1" s="1"/>
  <c r="L18" i="1"/>
  <c r="L34" i="1" s="1"/>
  <c r="L19" i="1"/>
  <c r="L33" i="1" s="1"/>
  <c r="L20" i="1"/>
  <c r="L32" i="1" s="1"/>
  <c r="L21" i="1"/>
  <c r="L31" i="1" s="1"/>
  <c r="L22" i="1"/>
  <c r="L30" i="1" s="1"/>
  <c r="L23" i="1"/>
  <c r="L29" i="1" s="1"/>
  <c r="L24" i="1"/>
  <c r="L28" i="1" s="1"/>
  <c r="L25" i="1"/>
  <c r="L27" i="1" s="1"/>
  <c r="L26" i="1"/>
  <c r="L11" i="1"/>
  <c r="L41" i="1" s="1"/>
  <c r="K12" i="1"/>
  <c r="K40" i="1" s="1"/>
  <c r="K13" i="1"/>
  <c r="K39" i="1" s="1"/>
  <c r="K14" i="1"/>
  <c r="K38" i="1" s="1"/>
  <c r="K15" i="1"/>
  <c r="K37" i="1" s="1"/>
  <c r="K16" i="1"/>
  <c r="K36" i="1" s="1"/>
  <c r="K17" i="1"/>
  <c r="K35" i="1" s="1"/>
  <c r="K18" i="1"/>
  <c r="K34" i="1" s="1"/>
  <c r="K19" i="1"/>
  <c r="K33" i="1" s="1"/>
  <c r="K20" i="1"/>
  <c r="K32" i="1" s="1"/>
  <c r="K21" i="1"/>
  <c r="K31" i="1" s="1"/>
  <c r="K22" i="1"/>
  <c r="K30" i="1" s="1"/>
  <c r="K23" i="1"/>
  <c r="K29" i="1" s="1"/>
  <c r="K24" i="1"/>
  <c r="K28" i="1" s="1"/>
  <c r="K25" i="1"/>
  <c r="K27" i="1" s="1"/>
  <c r="K26" i="1"/>
  <c r="J12" i="1"/>
  <c r="J40" i="1" s="1"/>
  <c r="J13" i="1"/>
  <c r="J39" i="1" s="1"/>
  <c r="J14" i="1"/>
  <c r="J38" i="1" s="1"/>
  <c r="J15" i="1"/>
  <c r="J37" i="1" s="1"/>
  <c r="J16" i="1"/>
  <c r="J36" i="1" s="1"/>
  <c r="J17" i="1"/>
  <c r="J35" i="1" s="1"/>
  <c r="J18" i="1"/>
  <c r="J34" i="1" s="1"/>
  <c r="J19" i="1"/>
  <c r="J33" i="1" s="1"/>
  <c r="J20" i="1"/>
  <c r="J32" i="1" s="1"/>
  <c r="J21" i="1"/>
  <c r="J31" i="1" s="1"/>
  <c r="J22" i="1"/>
  <c r="J30" i="1" s="1"/>
  <c r="J23" i="1"/>
  <c r="J29" i="1" s="1"/>
  <c r="J24" i="1"/>
  <c r="J28" i="1" s="1"/>
  <c r="J25" i="1"/>
  <c r="J27" i="1" s="1"/>
  <c r="J26" i="1"/>
  <c r="J11" i="1"/>
  <c r="J41" i="1" s="1"/>
  <c r="D192" i="4" l="1"/>
  <c r="R37" i="4" l="1"/>
  <c r="R36" i="4"/>
  <c r="R35" i="4"/>
  <c r="R34" i="4"/>
  <c r="R33" i="4"/>
  <c r="R32" i="4"/>
  <c r="R31" i="4"/>
  <c r="R30" i="4"/>
  <c r="R49" i="4"/>
  <c r="R48" i="4"/>
  <c r="R47" i="4"/>
  <c r="R46" i="4"/>
  <c r="R45" i="4"/>
  <c r="R44" i="4"/>
  <c r="R43" i="4"/>
  <c r="R42" i="4"/>
  <c r="R41" i="4"/>
  <c r="R40" i="4"/>
  <c r="R39" i="4"/>
  <c r="R67" i="4"/>
  <c r="R66" i="4"/>
  <c r="R65" i="4"/>
  <c r="R64" i="4"/>
  <c r="R63" i="4"/>
  <c r="R62" i="4"/>
  <c r="R61" i="4"/>
  <c r="R60" i="4"/>
  <c r="R59" i="4"/>
  <c r="R58" i="4"/>
  <c r="R57" i="4"/>
  <c r="R56" i="4"/>
  <c r="R55" i="4"/>
  <c r="R54" i="4"/>
  <c r="R53" i="4"/>
  <c r="R52" i="4"/>
  <c r="R51" i="4"/>
  <c r="R85" i="4"/>
  <c r="R84" i="4"/>
  <c r="R83" i="4"/>
  <c r="R82" i="4"/>
  <c r="R81" i="4"/>
  <c r="R80" i="4"/>
  <c r="R79" i="4"/>
  <c r="R78" i="4"/>
  <c r="R77" i="4"/>
  <c r="R76" i="4"/>
  <c r="R75" i="4"/>
  <c r="R74" i="4"/>
  <c r="R73" i="4"/>
  <c r="R72" i="4"/>
  <c r="R71" i="4"/>
  <c r="R70" i="4"/>
  <c r="R69" i="4"/>
  <c r="R104" i="4"/>
  <c r="R103" i="4"/>
  <c r="R102" i="4"/>
  <c r="R101" i="4"/>
  <c r="R100" i="4"/>
  <c r="R99" i="4"/>
  <c r="R98" i="4"/>
  <c r="R97" i="4"/>
  <c r="R96" i="4"/>
  <c r="R95" i="4"/>
  <c r="R94" i="4"/>
  <c r="R93" i="4"/>
  <c r="R92" i="4"/>
  <c r="R91" i="4"/>
  <c r="R90" i="4"/>
  <c r="R89" i="4"/>
  <c r="R88" i="4"/>
  <c r="R87" i="4"/>
  <c r="R123" i="4"/>
  <c r="R122" i="4"/>
  <c r="R121" i="4"/>
  <c r="R120" i="4"/>
  <c r="R119" i="4"/>
  <c r="R118" i="4"/>
  <c r="R117" i="4"/>
  <c r="R116" i="4"/>
  <c r="R115" i="4"/>
  <c r="R114" i="4"/>
  <c r="R113" i="4"/>
  <c r="R112" i="4"/>
  <c r="R111" i="4"/>
  <c r="R110" i="4"/>
  <c r="R109" i="4"/>
  <c r="R108" i="4"/>
  <c r="R107" i="4"/>
  <c r="R106" i="4"/>
  <c r="R146" i="4"/>
  <c r="R145" i="4"/>
  <c r="R144" i="4"/>
  <c r="R143" i="4"/>
  <c r="R142" i="4"/>
  <c r="R141" i="4"/>
  <c r="R140" i="4"/>
  <c r="R139" i="4"/>
  <c r="R138" i="4"/>
  <c r="R137" i="4"/>
  <c r="R136" i="4"/>
  <c r="R135" i="4"/>
  <c r="R134" i="4"/>
  <c r="R133" i="4"/>
  <c r="R132" i="4"/>
  <c r="R131" i="4"/>
  <c r="R130" i="4"/>
  <c r="R129" i="4"/>
  <c r="R128" i="4"/>
  <c r="R127" i="4"/>
  <c r="R126" i="4"/>
  <c r="R125" i="4"/>
  <c r="R167" i="4"/>
  <c r="R166" i="4"/>
  <c r="R165" i="4"/>
  <c r="R164" i="4"/>
  <c r="R163" i="4"/>
  <c r="R162" i="4"/>
  <c r="R161" i="4"/>
  <c r="R160" i="4"/>
  <c r="R159" i="4"/>
  <c r="R158" i="4"/>
  <c r="R157" i="4"/>
  <c r="R156" i="4"/>
  <c r="R155" i="4"/>
  <c r="R154" i="4"/>
  <c r="R153" i="4"/>
  <c r="R152" i="4"/>
  <c r="R151" i="4"/>
  <c r="R150" i="4"/>
  <c r="R149" i="4"/>
  <c r="R148" i="4"/>
  <c r="R190" i="4"/>
  <c r="R189" i="4"/>
  <c r="R188" i="4"/>
  <c r="R187" i="4"/>
  <c r="R186" i="4"/>
  <c r="R185" i="4"/>
  <c r="R184" i="4"/>
  <c r="R183" i="4"/>
  <c r="R182" i="4"/>
  <c r="R181" i="4"/>
  <c r="R180" i="4"/>
  <c r="R179" i="4"/>
  <c r="R178" i="4"/>
  <c r="R177" i="4"/>
  <c r="R176" i="4"/>
  <c r="R175" i="4"/>
  <c r="R174" i="4"/>
  <c r="R173" i="4"/>
  <c r="R172" i="4"/>
  <c r="R171" i="4"/>
  <c r="R170" i="4"/>
  <c r="R169" i="4"/>
  <c r="R223" i="4"/>
  <c r="R222" i="4"/>
  <c r="R221" i="4"/>
  <c r="R220" i="4"/>
  <c r="R219" i="4"/>
  <c r="R217" i="4"/>
  <c r="R216" i="4"/>
  <c r="R215" i="4"/>
  <c r="R214" i="4"/>
  <c r="R213" i="4"/>
  <c r="R212" i="4"/>
  <c r="R211" i="4"/>
  <c r="R208" i="4"/>
  <c r="R207" i="4"/>
  <c r="R206" i="4"/>
  <c r="R205" i="4"/>
  <c r="R204" i="4"/>
  <c r="R203" i="4"/>
  <c r="R202" i="4"/>
  <c r="R201" i="4"/>
  <c r="R200" i="4"/>
  <c r="R199" i="4"/>
  <c r="R198" i="4"/>
  <c r="R197" i="4"/>
  <c r="R196" i="4"/>
  <c r="R195" i="4"/>
  <c r="R194" i="4"/>
  <c r="R193" i="4"/>
  <c r="R192" i="4"/>
  <c r="R29" i="4"/>
  <c r="D211" i="4"/>
  <c r="P211" i="4" l="1"/>
  <c r="D207" i="4"/>
  <c r="D202" i="4"/>
  <c r="D201" i="4"/>
  <c r="D181" i="4"/>
  <c r="P181" i="4" s="1"/>
  <c r="D194" i="4"/>
  <c r="D171" i="4"/>
  <c r="P171" i="4" s="1"/>
  <c r="D126" i="4"/>
  <c r="D125" i="4"/>
  <c r="D149" i="4"/>
  <c r="D127" i="4"/>
  <c r="D117" i="4"/>
  <c r="D116" i="4"/>
  <c r="D118" i="4"/>
  <c r="D88" i="4"/>
  <c r="D94" i="4"/>
  <c r="D223" i="4"/>
  <c r="P223" i="4" s="1"/>
  <c r="D222" i="4"/>
  <c r="P222" i="4" s="1"/>
  <c r="D221" i="4"/>
  <c r="P221" i="4" s="1"/>
  <c r="D220" i="4"/>
  <c r="P220" i="4" s="1"/>
  <c r="D219" i="4"/>
  <c r="P219" i="4" s="1"/>
  <c r="D217" i="4"/>
  <c r="D216" i="4"/>
  <c r="D215" i="4"/>
  <c r="P215" i="4" s="1"/>
  <c r="D214" i="4"/>
  <c r="D213" i="4"/>
  <c r="D212" i="4"/>
  <c r="D208" i="4"/>
  <c r="D206" i="4"/>
  <c r="D205" i="4"/>
  <c r="D204" i="4"/>
  <c r="D203" i="4"/>
  <c r="D199" i="4"/>
  <c r="D200" i="4"/>
  <c r="D198" i="4"/>
  <c r="D197" i="4"/>
  <c r="D196" i="4"/>
  <c r="D195" i="4"/>
  <c r="D193" i="4"/>
  <c r="D190" i="4"/>
  <c r="P190" i="4" s="1"/>
  <c r="D189" i="4"/>
  <c r="P189" i="4" s="1"/>
  <c r="D188" i="4"/>
  <c r="P188" i="4" s="1"/>
  <c r="D187" i="4"/>
  <c r="P187" i="4" s="1"/>
  <c r="D186" i="4"/>
  <c r="P186" i="4" s="1"/>
  <c r="D185" i="4"/>
  <c r="P185" i="4" s="1"/>
  <c r="D184" i="4"/>
  <c r="P184" i="4" s="1"/>
  <c r="D183" i="4"/>
  <c r="P183" i="4" s="1"/>
  <c r="D182" i="4"/>
  <c r="P182" i="4" s="1"/>
  <c r="D177" i="4"/>
  <c r="P177" i="4" s="1"/>
  <c r="D176" i="4"/>
  <c r="P176" i="4" s="1"/>
  <c r="D175" i="4"/>
  <c r="P175" i="4" s="1"/>
  <c r="D174" i="4"/>
  <c r="P174" i="4" s="1"/>
  <c r="D180" i="4"/>
  <c r="P180" i="4" s="1"/>
  <c r="D179" i="4"/>
  <c r="P179" i="4" s="1"/>
  <c r="D173" i="4"/>
  <c r="P173" i="4" s="1"/>
  <c r="D178" i="4"/>
  <c r="P178" i="4" s="1"/>
  <c r="D172" i="4"/>
  <c r="P172" i="4" s="1"/>
  <c r="D156" i="4"/>
  <c r="D170" i="4"/>
  <c r="P170" i="4" s="1"/>
  <c r="D169" i="4"/>
  <c r="P169" i="4" s="1"/>
  <c r="D167" i="4"/>
  <c r="D166" i="4"/>
  <c r="D165" i="4"/>
  <c r="D164" i="4"/>
  <c r="D163" i="4"/>
  <c r="D162" i="4"/>
  <c r="D161" i="4"/>
  <c r="D160" i="4"/>
  <c r="D159" i="4"/>
  <c r="D158" i="4"/>
  <c r="D157" i="4"/>
  <c r="D155" i="4"/>
  <c r="D154" i="4"/>
  <c r="D153" i="4"/>
  <c r="D152" i="4"/>
  <c r="D151" i="4"/>
  <c r="D150" i="4"/>
  <c r="D148" i="4"/>
  <c r="D144" i="4"/>
  <c r="D143" i="4"/>
  <c r="D142" i="4"/>
  <c r="D141" i="4"/>
  <c r="D137" i="4"/>
  <c r="D136" i="4"/>
  <c r="D135" i="4"/>
  <c r="D134" i="4"/>
  <c r="D131" i="4"/>
  <c r="D140" i="4"/>
  <c r="D139" i="4"/>
  <c r="D109" i="4"/>
  <c r="D129" i="4"/>
  <c r="D128" i="4"/>
  <c r="D130" i="4"/>
  <c r="D138" i="4"/>
  <c r="D108" i="4"/>
  <c r="D106" i="4"/>
  <c r="D146" i="4"/>
  <c r="D145" i="4"/>
  <c r="D123" i="4"/>
  <c r="D122" i="4"/>
  <c r="D121" i="4"/>
  <c r="D133" i="4"/>
  <c r="D120" i="4"/>
  <c r="D119" i="4"/>
  <c r="D91" i="4"/>
  <c r="D115" i="4"/>
  <c r="D114" i="4"/>
  <c r="D113" i="4"/>
  <c r="D112" i="4"/>
  <c r="D132" i="4"/>
  <c r="D111" i="4"/>
  <c r="D110" i="4"/>
  <c r="D104" i="4"/>
  <c r="D103" i="4"/>
  <c r="D102" i="4"/>
  <c r="D101" i="4"/>
  <c r="D100" i="4"/>
  <c r="D99" i="4"/>
  <c r="D98" i="4"/>
  <c r="D97" i="4"/>
  <c r="D96" i="4"/>
  <c r="D95" i="4"/>
  <c r="D93" i="4"/>
  <c r="D92" i="4"/>
  <c r="D107" i="4"/>
  <c r="D90" i="4"/>
  <c r="D89" i="4"/>
  <c r="D87" i="4"/>
  <c r="D85" i="4"/>
  <c r="D84" i="4"/>
  <c r="D83" i="4"/>
  <c r="D82" i="4"/>
  <c r="D81" i="4"/>
  <c r="D80" i="4"/>
  <c r="D79" i="4"/>
  <c r="D78" i="4"/>
  <c r="D77" i="4"/>
  <c r="D76" i="4"/>
  <c r="D75" i="4"/>
  <c r="D74" i="4"/>
  <c r="D73" i="4"/>
  <c r="D72" i="4"/>
  <c r="D71" i="4"/>
  <c r="D70" i="4"/>
  <c r="D69" i="4"/>
  <c r="D67" i="4"/>
  <c r="D66" i="4"/>
  <c r="D65" i="4"/>
  <c r="D64" i="4"/>
  <c r="D63" i="4"/>
  <c r="D62" i="4"/>
  <c r="D61" i="4"/>
  <c r="D60" i="4"/>
  <c r="D59" i="4"/>
  <c r="D58" i="4"/>
  <c r="D57" i="4"/>
  <c r="D56" i="4"/>
  <c r="D55" i="4"/>
  <c r="D54" i="4"/>
  <c r="D53" i="4"/>
  <c r="D52" i="4"/>
  <c r="D51" i="4"/>
  <c r="D49" i="4"/>
  <c r="P49" i="4" s="1"/>
  <c r="D48" i="4"/>
  <c r="P48" i="4" s="1"/>
  <c r="D47" i="4"/>
  <c r="P47" i="4" s="1"/>
  <c r="D46" i="4"/>
  <c r="P46" i="4" s="1"/>
  <c r="D45" i="4"/>
  <c r="P45" i="4" s="1"/>
  <c r="D44" i="4"/>
  <c r="P44" i="4" s="1"/>
  <c r="D43" i="4"/>
  <c r="P43" i="4" s="1"/>
  <c r="D42" i="4"/>
  <c r="P42" i="4" s="1"/>
  <c r="D41" i="4"/>
  <c r="P41" i="4" s="1"/>
  <c r="D40" i="4"/>
  <c r="P40" i="4" s="1"/>
  <c r="D39" i="4"/>
  <c r="P39" i="4" s="1"/>
  <c r="D37" i="4"/>
  <c r="P37" i="4" s="1"/>
  <c r="D36" i="4"/>
  <c r="P36" i="4" s="1"/>
  <c r="D35" i="4"/>
  <c r="P35" i="4" s="1"/>
  <c r="D34" i="4"/>
  <c r="P34" i="4" s="1"/>
  <c r="D33" i="4"/>
  <c r="P33" i="4" s="1"/>
  <c r="D32" i="4"/>
  <c r="P32" i="4" s="1"/>
  <c r="D31" i="4"/>
  <c r="P31" i="4" s="1"/>
  <c r="D30" i="4"/>
  <c r="P30" i="4" s="1"/>
  <c r="D29" i="4"/>
  <c r="P29" i="4" s="1"/>
  <c r="P56" i="4" l="1"/>
  <c r="P60" i="4"/>
  <c r="P64" i="4"/>
  <c r="P69" i="4"/>
  <c r="P73" i="4"/>
  <c r="P79" i="4"/>
  <c r="P83" i="4"/>
  <c r="P89" i="4"/>
  <c r="P93" i="4"/>
  <c r="P98" i="4"/>
  <c r="P102" i="4"/>
  <c r="P112" i="4"/>
  <c r="P91" i="4"/>
  <c r="P121" i="4"/>
  <c r="P146" i="4"/>
  <c r="P130" i="4"/>
  <c r="P139" i="4"/>
  <c r="P137" i="4"/>
  <c r="P144" i="4"/>
  <c r="P152" i="4"/>
  <c r="P157" i="4"/>
  <c r="P161" i="4"/>
  <c r="P165" i="4"/>
  <c r="P196" i="4"/>
  <c r="P199" i="4"/>
  <c r="P206" i="4"/>
  <c r="P214" i="4"/>
  <c r="P88" i="4"/>
  <c r="P127" i="4"/>
  <c r="P192" i="4"/>
  <c r="P52" i="4"/>
  <c r="P54" i="4"/>
  <c r="P58" i="4"/>
  <c r="P62" i="4"/>
  <c r="P66" i="4"/>
  <c r="P71" i="4"/>
  <c r="P75" i="4"/>
  <c r="P77" i="4"/>
  <c r="P81" i="4"/>
  <c r="P85" i="4"/>
  <c r="P107" i="4"/>
  <c r="P96" i="4"/>
  <c r="P100" i="4"/>
  <c r="P104" i="4"/>
  <c r="P111" i="4"/>
  <c r="P114" i="4"/>
  <c r="P120" i="4"/>
  <c r="P123" i="4"/>
  <c r="P108" i="4"/>
  <c r="P129" i="4"/>
  <c r="P131" i="4"/>
  <c r="P135" i="4"/>
  <c r="P142" i="4"/>
  <c r="P150" i="4"/>
  <c r="P154" i="4"/>
  <c r="P159" i="4"/>
  <c r="P163" i="4"/>
  <c r="P167" i="4"/>
  <c r="P193" i="4"/>
  <c r="P198" i="4"/>
  <c r="P204" i="4"/>
  <c r="P212" i="4"/>
  <c r="P216" i="4"/>
  <c r="P116" i="4"/>
  <c r="P125" i="4"/>
  <c r="P202" i="4"/>
  <c r="P51" i="4"/>
  <c r="P53" i="4"/>
  <c r="P55" i="4"/>
  <c r="P57" i="4"/>
  <c r="P59" i="4"/>
  <c r="P61" i="4"/>
  <c r="P63" i="4"/>
  <c r="P65" i="4"/>
  <c r="P67" i="4"/>
  <c r="P70" i="4"/>
  <c r="P72" i="4"/>
  <c r="P74" i="4"/>
  <c r="P76" i="4"/>
  <c r="P78" i="4"/>
  <c r="P80" i="4"/>
  <c r="P82" i="4"/>
  <c r="P84" i="4"/>
  <c r="P87" i="4"/>
  <c r="P90" i="4"/>
  <c r="P92" i="4"/>
  <c r="P95" i="4"/>
  <c r="P97" i="4"/>
  <c r="P99" i="4"/>
  <c r="P101" i="4"/>
  <c r="P103" i="4"/>
  <c r="P132" i="4"/>
  <c r="P113" i="4"/>
  <c r="P115" i="4"/>
  <c r="P119" i="4"/>
  <c r="P133" i="4"/>
  <c r="P122" i="4"/>
  <c r="P145" i="4"/>
  <c r="P106" i="4"/>
  <c r="P138" i="4"/>
  <c r="P128" i="4"/>
  <c r="P109" i="4"/>
  <c r="P140" i="4"/>
  <c r="P134" i="4"/>
  <c r="P136" i="4"/>
  <c r="P141" i="4"/>
  <c r="P143" i="4"/>
  <c r="P148" i="4"/>
  <c r="P151" i="4"/>
  <c r="P153" i="4"/>
  <c r="P155" i="4"/>
  <c r="P158" i="4"/>
  <c r="P160" i="4"/>
  <c r="P162" i="4"/>
  <c r="P164" i="4"/>
  <c r="P166" i="4"/>
  <c r="P156" i="4"/>
  <c r="P195" i="4"/>
  <c r="P197" i="4"/>
  <c r="P200" i="4"/>
  <c r="P203" i="4"/>
  <c r="P205" i="4"/>
  <c r="P208" i="4"/>
  <c r="P213" i="4"/>
  <c r="P217" i="4"/>
  <c r="P94" i="4"/>
  <c r="P149" i="4"/>
  <c r="P126" i="4"/>
  <c r="P194" i="4"/>
  <c r="P201" i="4"/>
  <c r="P207" i="4"/>
  <c r="P117" i="4"/>
  <c r="P118" i="4"/>
  <c r="P110" i="4"/>
  <c r="G12" i="1"/>
  <c r="G10" i="1"/>
  <c r="G8" i="1"/>
  <c r="G9" i="1"/>
  <c r="G11" i="1"/>
  <c r="G13" i="1"/>
  <c r="K41" i="1"/>
</calcChain>
</file>

<file path=xl/sharedStrings.xml><?xml version="1.0" encoding="utf-8"?>
<sst xmlns="http://schemas.openxmlformats.org/spreadsheetml/2006/main" count="1344" uniqueCount="826">
  <si>
    <t>筋力</t>
    <rPh sb="0" eb="2">
      <t>キンリョク</t>
    </rPh>
    <phoneticPr fontId="1"/>
  </si>
  <si>
    <t>耐久</t>
    <rPh sb="0" eb="2">
      <t>タイキュウ</t>
    </rPh>
    <phoneticPr fontId="1"/>
  </si>
  <si>
    <t>敏捷</t>
    <rPh sb="0" eb="2">
      <t>ビンショウ</t>
    </rPh>
    <phoneticPr fontId="1"/>
  </si>
  <si>
    <t>器用</t>
    <rPh sb="0" eb="2">
      <t>キヨウ</t>
    </rPh>
    <phoneticPr fontId="1"/>
  </si>
  <si>
    <t>町の民</t>
    <rPh sb="0" eb="1">
      <t>マチ</t>
    </rPh>
    <rPh sb="2" eb="3">
      <t>タミ</t>
    </rPh>
    <phoneticPr fontId="1"/>
  </si>
  <si>
    <t>山の民</t>
    <rPh sb="0" eb="1">
      <t>ヤマ</t>
    </rPh>
    <rPh sb="2" eb="3">
      <t>タミ</t>
    </rPh>
    <phoneticPr fontId="1"/>
  </si>
  <si>
    <t>森の民</t>
    <rPh sb="0" eb="1">
      <t>モリ</t>
    </rPh>
    <rPh sb="2" eb="3">
      <t>タミ</t>
    </rPh>
    <phoneticPr fontId="1"/>
  </si>
  <si>
    <t>草原の民</t>
    <rPh sb="0" eb="2">
      <t>ソウゲン</t>
    </rPh>
    <rPh sb="3" eb="4">
      <t>タミ</t>
    </rPh>
    <phoneticPr fontId="1"/>
  </si>
  <si>
    <t>海の民</t>
    <rPh sb="0" eb="1">
      <t>ウミ</t>
    </rPh>
    <rPh sb="2" eb="3">
      <t>タミ</t>
    </rPh>
    <phoneticPr fontId="1"/>
  </si>
  <si>
    <t>合計</t>
    <rPh sb="0" eb="2">
      <t>ゴウケイ</t>
    </rPh>
    <phoneticPr fontId="1"/>
  </si>
  <si>
    <t>放浪の民</t>
    <rPh sb="0" eb="2">
      <t>ホウロウ</t>
    </rPh>
    <rPh sb="3" eb="4">
      <t>タミ</t>
    </rPh>
    <phoneticPr fontId="1"/>
  </si>
  <si>
    <t>　不死鳥の血</t>
    <rPh sb="1" eb="4">
      <t>フシチョウ</t>
    </rPh>
    <rPh sb="5" eb="6">
      <t>チ</t>
    </rPh>
    <phoneticPr fontId="1"/>
  </si>
  <si>
    <t>　魔法の投げ矢</t>
    <rPh sb="1" eb="3">
      <t>マホウ</t>
    </rPh>
    <rPh sb="4" eb="5">
      <t>ナ</t>
    </rPh>
    <rPh sb="6" eb="7">
      <t>ヤ</t>
    </rPh>
    <phoneticPr fontId="1"/>
  </si>
  <si>
    <t>　石化治療の薬</t>
    <rPh sb="1" eb="3">
      <t>セッカ</t>
    </rPh>
    <rPh sb="3" eb="5">
      <t>チリョウ</t>
    </rPh>
    <rPh sb="6" eb="7">
      <t>クスリ</t>
    </rPh>
    <phoneticPr fontId="1"/>
  </si>
  <si>
    <t>　毒消しの薬</t>
    <rPh sb="1" eb="3">
      <t>ドクケ</t>
    </rPh>
    <rPh sb="5" eb="6">
      <t>クスリ</t>
    </rPh>
    <phoneticPr fontId="1"/>
  </si>
  <si>
    <t>武器</t>
    <rPh sb="0" eb="2">
      <t>ブキ</t>
    </rPh>
    <phoneticPr fontId="1"/>
  </si>
  <si>
    <t>　長剣</t>
    <rPh sb="1" eb="3">
      <t>チョウケン</t>
    </rPh>
    <phoneticPr fontId="1"/>
  </si>
  <si>
    <t>　短剣</t>
    <rPh sb="1" eb="3">
      <t>タンケン</t>
    </rPh>
    <phoneticPr fontId="1"/>
  </si>
  <si>
    <t>　大型武器</t>
    <rPh sb="1" eb="3">
      <t>オオガタ</t>
    </rPh>
    <rPh sb="3" eb="5">
      <t>ブキ</t>
    </rPh>
    <phoneticPr fontId="1"/>
  </si>
  <si>
    <t>鎧</t>
    <rPh sb="0" eb="1">
      <t>ヨロイ</t>
    </rPh>
    <phoneticPr fontId="1"/>
  </si>
  <si>
    <t>　服</t>
    <rPh sb="1" eb="2">
      <t>フク</t>
    </rPh>
    <phoneticPr fontId="1"/>
  </si>
  <si>
    <t>　革鎧</t>
    <rPh sb="1" eb="2">
      <t>カワ</t>
    </rPh>
    <rPh sb="2" eb="3">
      <t>ヨロイ</t>
    </rPh>
    <phoneticPr fontId="1"/>
  </si>
  <si>
    <t>　小盾</t>
    <rPh sb="1" eb="2">
      <t>ショウ</t>
    </rPh>
    <rPh sb="2" eb="3">
      <t>タテ</t>
    </rPh>
    <phoneticPr fontId="1"/>
  </si>
  <si>
    <t>　大盾</t>
    <rPh sb="1" eb="2">
      <t>オオ</t>
    </rPh>
    <rPh sb="2" eb="3">
      <t>タテ</t>
    </rPh>
    <phoneticPr fontId="1"/>
  </si>
  <si>
    <t>兜</t>
    <rPh sb="0" eb="1">
      <t>カブト</t>
    </rPh>
    <phoneticPr fontId="1"/>
  </si>
  <si>
    <t>ブーツ</t>
    <phoneticPr fontId="1"/>
  </si>
  <si>
    <t>その他</t>
    <rPh sb="2" eb="3">
      <t>タ</t>
    </rPh>
    <phoneticPr fontId="1"/>
  </si>
  <si>
    <t>　帽子</t>
    <rPh sb="1" eb="3">
      <t>ボウシ</t>
    </rPh>
    <phoneticPr fontId="1"/>
  </si>
  <si>
    <t>　兜</t>
    <rPh sb="1" eb="2">
      <t>カブト</t>
    </rPh>
    <phoneticPr fontId="1"/>
  </si>
  <si>
    <t>　靴</t>
    <rPh sb="1" eb="2">
      <t>クツ</t>
    </rPh>
    <phoneticPr fontId="1"/>
  </si>
  <si>
    <t>　装甲靴</t>
    <rPh sb="1" eb="3">
      <t>ソウコウ</t>
    </rPh>
    <rPh sb="3" eb="4">
      <t>グツ</t>
    </rPh>
    <phoneticPr fontId="1"/>
  </si>
  <si>
    <t>　指輪</t>
    <rPh sb="1" eb="3">
      <t>ユビワ</t>
    </rPh>
    <phoneticPr fontId="1"/>
  </si>
  <si>
    <t>道具</t>
    <rPh sb="0" eb="2">
      <t>ドウグ</t>
    </rPh>
    <phoneticPr fontId="1"/>
  </si>
  <si>
    <t>ランク１</t>
    <phoneticPr fontId="1"/>
  </si>
  <si>
    <t>長剣</t>
    <rPh sb="0" eb="2">
      <t>チョウケン</t>
    </rPh>
    <phoneticPr fontId="1"/>
  </si>
  <si>
    <t>短剣</t>
    <rPh sb="0" eb="2">
      <t>タンケン</t>
    </rPh>
    <phoneticPr fontId="1"/>
  </si>
  <si>
    <t>服</t>
    <rPh sb="0" eb="1">
      <t>フク</t>
    </rPh>
    <phoneticPr fontId="1"/>
  </si>
  <si>
    <t>革鎧</t>
    <rPh sb="0" eb="1">
      <t>カワ</t>
    </rPh>
    <rPh sb="1" eb="2">
      <t>ヨロイ</t>
    </rPh>
    <phoneticPr fontId="1"/>
  </si>
  <si>
    <t>小盾</t>
    <rPh sb="0" eb="1">
      <t>ショウ</t>
    </rPh>
    <rPh sb="1" eb="2">
      <t>タテ</t>
    </rPh>
    <phoneticPr fontId="1"/>
  </si>
  <si>
    <t>大盾</t>
    <rPh sb="0" eb="1">
      <t>ダイ</t>
    </rPh>
    <rPh sb="1" eb="2">
      <t>タテ</t>
    </rPh>
    <phoneticPr fontId="1"/>
  </si>
  <si>
    <t>竜鱗の鎧</t>
    <rPh sb="0" eb="1">
      <t>リュウ</t>
    </rPh>
    <rPh sb="1" eb="2">
      <t>ウロコ</t>
    </rPh>
    <rPh sb="3" eb="4">
      <t>ヨロイ</t>
    </rPh>
    <phoneticPr fontId="1"/>
  </si>
  <si>
    <t>癒しの香</t>
    <rPh sb="0" eb="1">
      <t>イヤ</t>
    </rPh>
    <rPh sb="3" eb="4">
      <t>コウ</t>
    </rPh>
    <phoneticPr fontId="1"/>
  </si>
  <si>
    <t>傷薬</t>
    <rPh sb="0" eb="2">
      <t>キズグスリ</t>
    </rPh>
    <phoneticPr fontId="1"/>
  </si>
  <si>
    <t>高級傷薬</t>
    <rPh sb="0" eb="2">
      <t>コウキュウ</t>
    </rPh>
    <rPh sb="2" eb="4">
      <t>キズグスリ</t>
    </rPh>
    <phoneticPr fontId="1"/>
  </si>
  <si>
    <t>賢者の粉薬</t>
    <rPh sb="0" eb="2">
      <t>ケンジャ</t>
    </rPh>
    <rPh sb="3" eb="5">
      <t>コナグスリ</t>
    </rPh>
    <phoneticPr fontId="1"/>
  </si>
  <si>
    <t>不死鳥の血</t>
    <rPh sb="0" eb="3">
      <t>フシチョウ</t>
    </rPh>
    <rPh sb="4" eb="5">
      <t>チ</t>
    </rPh>
    <phoneticPr fontId="1"/>
  </si>
  <si>
    <t>浄化の香</t>
    <rPh sb="0" eb="2">
      <t>ジョウカ</t>
    </rPh>
    <rPh sb="3" eb="4">
      <t>コウ</t>
    </rPh>
    <phoneticPr fontId="1"/>
  </si>
  <si>
    <t>毒消しの薬</t>
    <rPh sb="0" eb="2">
      <t>ドクケ</t>
    </rPh>
    <rPh sb="4" eb="5">
      <t>クスリ</t>
    </rPh>
    <phoneticPr fontId="1"/>
  </si>
  <si>
    <t>石化治しの薬</t>
    <rPh sb="0" eb="2">
      <t>セッカ</t>
    </rPh>
    <rPh sb="2" eb="3">
      <t>ナオ</t>
    </rPh>
    <rPh sb="5" eb="6">
      <t>クスリ</t>
    </rPh>
    <phoneticPr fontId="1"/>
  </si>
  <si>
    <t>万能薬</t>
    <rPh sb="0" eb="3">
      <t>バンノウヤク</t>
    </rPh>
    <phoneticPr fontId="1"/>
  </si>
  <si>
    <t>聖光の巻物</t>
    <rPh sb="0" eb="1">
      <t>セイ</t>
    </rPh>
    <rPh sb="1" eb="2">
      <t>ヒカリ</t>
    </rPh>
    <rPh sb="3" eb="5">
      <t>マキモノ</t>
    </rPh>
    <phoneticPr fontId="1"/>
  </si>
  <si>
    <t>裁きの巻物</t>
    <rPh sb="0" eb="1">
      <t>サバ</t>
    </rPh>
    <rPh sb="3" eb="5">
      <t>マキモノ</t>
    </rPh>
    <phoneticPr fontId="1"/>
  </si>
  <si>
    <t>銀の投げ矢</t>
    <rPh sb="0" eb="1">
      <t>ギン</t>
    </rPh>
    <rPh sb="2" eb="3">
      <t>ナ</t>
    </rPh>
    <rPh sb="4" eb="5">
      <t>ヤ</t>
    </rPh>
    <phoneticPr fontId="1"/>
  </si>
  <si>
    <t>魔法の投げ矢</t>
    <rPh sb="0" eb="2">
      <t>マホウ</t>
    </rPh>
    <rPh sb="3" eb="4">
      <t>ナ</t>
    </rPh>
    <rPh sb="5" eb="6">
      <t>ヤ</t>
    </rPh>
    <phoneticPr fontId="1"/>
  </si>
  <si>
    <t>眠りの砂</t>
    <rPh sb="0" eb="1">
      <t>ネム</t>
    </rPh>
    <rPh sb="3" eb="4">
      <t>スナ</t>
    </rPh>
    <phoneticPr fontId="1"/>
  </si>
  <si>
    <t>煙玉</t>
    <rPh sb="0" eb="1">
      <t>ケムリ</t>
    </rPh>
    <rPh sb="1" eb="2">
      <t>ダマ</t>
    </rPh>
    <phoneticPr fontId="1"/>
  </si>
  <si>
    <t>沈黙の粉</t>
    <rPh sb="0" eb="2">
      <t>チンモク</t>
    </rPh>
    <rPh sb="3" eb="4">
      <t>コナ</t>
    </rPh>
    <phoneticPr fontId="1"/>
  </si>
  <si>
    <t>魔法の地図</t>
    <rPh sb="0" eb="2">
      <t>マホウ</t>
    </rPh>
    <rPh sb="3" eb="5">
      <t>チズ</t>
    </rPh>
    <phoneticPr fontId="1"/>
  </si>
  <si>
    <t>炎の巻物</t>
    <rPh sb="0" eb="1">
      <t>ホノオ</t>
    </rPh>
    <rPh sb="2" eb="4">
      <t>マキモノ</t>
    </rPh>
    <phoneticPr fontId="1"/>
  </si>
  <si>
    <t>氷の巻物</t>
    <rPh sb="0" eb="1">
      <t>コオリ</t>
    </rPh>
    <rPh sb="2" eb="4">
      <t>マキモノ</t>
    </rPh>
    <phoneticPr fontId="1"/>
  </si>
  <si>
    <t>氷の石</t>
    <rPh sb="0" eb="1">
      <t>コオリ</t>
    </rPh>
    <rPh sb="2" eb="3">
      <t>イシ</t>
    </rPh>
    <phoneticPr fontId="1"/>
  </si>
  <si>
    <t>炎の石</t>
    <rPh sb="0" eb="1">
      <t>ホノオ</t>
    </rPh>
    <rPh sb="2" eb="3">
      <t>イシ</t>
    </rPh>
    <phoneticPr fontId="1"/>
  </si>
  <si>
    <t>竜牙の長剣</t>
    <rPh sb="0" eb="1">
      <t>リュウ</t>
    </rPh>
    <rPh sb="1" eb="2">
      <t>キバ</t>
    </rPh>
    <rPh sb="3" eb="5">
      <t>チョウケン</t>
    </rPh>
    <phoneticPr fontId="1"/>
  </si>
  <si>
    <t>まっぷたつな剣</t>
    <rPh sb="6" eb="7">
      <t>ツルギ</t>
    </rPh>
    <phoneticPr fontId="1"/>
  </si>
  <si>
    <t>呪いの防具</t>
    <rPh sb="0" eb="1">
      <t>ノロ</t>
    </rPh>
    <rPh sb="3" eb="5">
      <t>ボウグ</t>
    </rPh>
    <phoneticPr fontId="1"/>
  </si>
  <si>
    <t>攻城用投石機</t>
    <rPh sb="0" eb="1">
      <t>セ</t>
    </rPh>
    <rPh sb="1" eb="2">
      <t>シロ</t>
    </rPh>
    <rPh sb="2" eb="3">
      <t>ヨウ</t>
    </rPh>
    <rPh sb="3" eb="5">
      <t>トウセキ</t>
    </rPh>
    <rPh sb="5" eb="6">
      <t>キ</t>
    </rPh>
    <phoneticPr fontId="1"/>
  </si>
  <si>
    <t>不死身の鎧</t>
    <rPh sb="0" eb="3">
      <t>フジミ</t>
    </rPh>
    <rPh sb="4" eb="5">
      <t>ヨロイ</t>
    </rPh>
    <phoneticPr fontId="1"/>
  </si>
  <si>
    <t>麻痺治しの薬</t>
    <rPh sb="0" eb="2">
      <t>マヒ</t>
    </rPh>
    <rPh sb="2" eb="3">
      <t>ナオ</t>
    </rPh>
    <rPh sb="5" eb="6">
      <t>クスリ</t>
    </rPh>
    <phoneticPr fontId="1"/>
  </si>
  <si>
    <t>竜断剣フレアルド</t>
    <rPh sb="0" eb="1">
      <t>リュウ</t>
    </rPh>
    <rPh sb="1" eb="2">
      <t>ダン</t>
    </rPh>
    <rPh sb="2" eb="3">
      <t>ケン</t>
    </rPh>
    <phoneticPr fontId="1"/>
  </si>
  <si>
    <t>　白杖</t>
    <rPh sb="1" eb="2">
      <t>シロ</t>
    </rPh>
    <rPh sb="2" eb="3">
      <t>ツエ</t>
    </rPh>
    <phoneticPr fontId="1"/>
  </si>
  <si>
    <t>聖光剣クラスメル</t>
    <rPh sb="0" eb="1">
      <t>セイ</t>
    </rPh>
    <rPh sb="1" eb="2">
      <t>ヒカリ</t>
    </rPh>
    <rPh sb="2" eb="3">
      <t>ツルギ</t>
    </rPh>
    <phoneticPr fontId="1"/>
  </si>
  <si>
    <t>＊＊＊</t>
    <phoneticPr fontId="1"/>
  </si>
  <si>
    <t>　白服</t>
    <rPh sb="1" eb="2">
      <t>シロ</t>
    </rPh>
    <rPh sb="2" eb="3">
      <t>フク</t>
    </rPh>
    <phoneticPr fontId="1"/>
  </si>
  <si>
    <t>　黒服</t>
    <rPh sb="1" eb="2">
      <t>クロ</t>
    </rPh>
    <rPh sb="2" eb="3">
      <t>フク</t>
    </rPh>
    <phoneticPr fontId="1"/>
  </si>
  <si>
    <t>星杖ミルケス</t>
    <rPh sb="0" eb="1">
      <t>ホシ</t>
    </rPh>
    <rPh sb="1" eb="2">
      <t>ツエ</t>
    </rPh>
    <phoneticPr fontId="1"/>
  </si>
  <si>
    <t>月杖ファイネ</t>
    <rPh sb="0" eb="1">
      <t>ツキ</t>
    </rPh>
    <rPh sb="1" eb="2">
      <t>ツエ</t>
    </rPh>
    <phoneticPr fontId="1"/>
  </si>
  <si>
    <t>竜皮の大盾</t>
    <rPh sb="0" eb="1">
      <t>リュウ</t>
    </rPh>
    <rPh sb="1" eb="2">
      <t>カワ</t>
    </rPh>
    <rPh sb="3" eb="4">
      <t>オオ</t>
    </rPh>
    <rPh sb="4" eb="5">
      <t>タテ</t>
    </rPh>
    <phoneticPr fontId="1"/>
  </si>
  <si>
    <t>竜翼の兜</t>
    <rPh sb="0" eb="1">
      <t>リュウ</t>
    </rPh>
    <rPh sb="1" eb="2">
      <t>ツバサ</t>
    </rPh>
    <rPh sb="3" eb="4">
      <t>カブト</t>
    </rPh>
    <phoneticPr fontId="1"/>
  </si>
  <si>
    <t>世界樹の弓</t>
    <rPh sb="0" eb="2">
      <t>セカイ</t>
    </rPh>
    <rPh sb="2" eb="3">
      <t>キ</t>
    </rPh>
    <rPh sb="4" eb="5">
      <t>ユミ</t>
    </rPh>
    <phoneticPr fontId="1"/>
  </si>
  <si>
    <t>ボーナス５</t>
    <phoneticPr fontId="1"/>
  </si>
  <si>
    <t>照明玉</t>
    <rPh sb="0" eb="2">
      <t>ショウメイ</t>
    </rPh>
    <rPh sb="2" eb="3">
      <t>ギョク</t>
    </rPh>
    <phoneticPr fontId="1"/>
  </si>
  <si>
    <t>竜牙の短剣</t>
    <rPh sb="0" eb="1">
      <t>リュウ</t>
    </rPh>
    <rPh sb="1" eb="2">
      <t>キバ</t>
    </rPh>
    <rPh sb="3" eb="5">
      <t>タンケン</t>
    </rPh>
    <phoneticPr fontId="1"/>
  </si>
  <si>
    <t>知力</t>
    <rPh sb="0" eb="2">
      <t>チリョク</t>
    </rPh>
    <phoneticPr fontId="1"/>
  </si>
  <si>
    <t>＊＊＊</t>
    <phoneticPr fontId="1"/>
  </si>
  <si>
    <t>白竜の聖衣</t>
    <rPh sb="0" eb="1">
      <t>シロ</t>
    </rPh>
    <rPh sb="1" eb="2">
      <t>リュウ</t>
    </rPh>
    <rPh sb="3" eb="4">
      <t>セイ</t>
    </rPh>
    <rPh sb="4" eb="5">
      <t>コロモ</t>
    </rPh>
    <phoneticPr fontId="1"/>
  </si>
  <si>
    <t>黒竜の聖衣</t>
    <rPh sb="0" eb="1">
      <t>クロ</t>
    </rPh>
    <rPh sb="1" eb="2">
      <t>リュウ</t>
    </rPh>
    <rPh sb="3" eb="4">
      <t>セイ</t>
    </rPh>
    <rPh sb="4" eb="5">
      <t>コロモ</t>
    </rPh>
    <phoneticPr fontId="1"/>
  </si>
  <si>
    <t>天馬の革鎧</t>
    <rPh sb="0" eb="2">
      <t>テンマ</t>
    </rPh>
    <rPh sb="3" eb="4">
      <t>カワ</t>
    </rPh>
    <rPh sb="4" eb="5">
      <t>ヨロイ</t>
    </rPh>
    <phoneticPr fontId="1"/>
  </si>
  <si>
    <t>　魔法杖</t>
    <rPh sb="1" eb="3">
      <t>マホウ</t>
    </rPh>
    <rPh sb="3" eb="4">
      <t>ツエ</t>
    </rPh>
    <phoneticPr fontId="1"/>
  </si>
  <si>
    <t>世界樹の杖</t>
    <rPh sb="0" eb="2">
      <t>セカイ</t>
    </rPh>
    <rPh sb="2" eb="3">
      <t>キ</t>
    </rPh>
    <rPh sb="4" eb="5">
      <t>ツエ</t>
    </rPh>
    <phoneticPr fontId="1"/>
  </si>
  <si>
    <t>若木の杖</t>
    <rPh sb="0" eb="1">
      <t>ワカ</t>
    </rPh>
    <rPh sb="1" eb="2">
      <t>キ</t>
    </rPh>
    <rPh sb="3" eb="4">
      <t>ツエ</t>
    </rPh>
    <phoneticPr fontId="1"/>
  </si>
  <si>
    <t>古木の杖</t>
    <rPh sb="0" eb="2">
      <t>コボク</t>
    </rPh>
    <rPh sb="3" eb="4">
      <t>ツエ</t>
    </rPh>
    <phoneticPr fontId="1"/>
  </si>
  <si>
    <t>老木の杖</t>
    <rPh sb="0" eb="1">
      <t>ロウ</t>
    </rPh>
    <rPh sb="1" eb="2">
      <t>キ</t>
    </rPh>
    <rPh sb="3" eb="4">
      <t>ツエ</t>
    </rPh>
    <phoneticPr fontId="1"/>
  </si>
  <si>
    <t>成木の杖</t>
    <rPh sb="0" eb="1">
      <t>ナ</t>
    </rPh>
    <rPh sb="1" eb="2">
      <t>キ</t>
    </rPh>
    <rPh sb="3" eb="4">
      <t>ツエ</t>
    </rPh>
    <phoneticPr fontId="1"/>
  </si>
  <si>
    <t>守りの杖</t>
    <rPh sb="0" eb="1">
      <t>マモ</t>
    </rPh>
    <rPh sb="3" eb="4">
      <t>ツエ</t>
    </rPh>
    <phoneticPr fontId="1"/>
  </si>
  <si>
    <t>加護の杖</t>
    <rPh sb="0" eb="2">
      <t>カゴ</t>
    </rPh>
    <rPh sb="3" eb="4">
      <t>ツエ</t>
    </rPh>
    <phoneticPr fontId="1"/>
  </si>
  <si>
    <t>天使の杖</t>
    <rPh sb="0" eb="2">
      <t>テンシ</t>
    </rPh>
    <rPh sb="3" eb="4">
      <t>ツエ</t>
    </rPh>
    <phoneticPr fontId="1"/>
  </si>
  <si>
    <t>神霊の杖</t>
    <rPh sb="0" eb="1">
      <t>カミ</t>
    </rPh>
    <rPh sb="1" eb="2">
      <t>レイ</t>
    </rPh>
    <rPh sb="3" eb="4">
      <t>ツエ</t>
    </rPh>
    <phoneticPr fontId="1"/>
  </si>
  <si>
    <t>狂戦士の杖</t>
    <rPh sb="0" eb="1">
      <t>キョウ</t>
    </rPh>
    <rPh sb="1" eb="3">
      <t>センシ</t>
    </rPh>
    <rPh sb="4" eb="5">
      <t>ツエ</t>
    </rPh>
    <phoneticPr fontId="1"/>
  </si>
  <si>
    <t>生命の羅針盤</t>
    <rPh sb="0" eb="2">
      <t>セイメイ</t>
    </rPh>
    <rPh sb="3" eb="6">
      <t>ラシンバン</t>
    </rPh>
    <phoneticPr fontId="1"/>
  </si>
  <si>
    <t>帽子</t>
    <rPh sb="0" eb="2">
      <t>ボウシ</t>
    </rPh>
    <phoneticPr fontId="1"/>
  </si>
  <si>
    <t>靴</t>
    <rPh sb="0" eb="1">
      <t>クツ</t>
    </rPh>
    <phoneticPr fontId="1"/>
  </si>
  <si>
    <t>装甲靴</t>
    <rPh sb="0" eb="2">
      <t>ソウコウ</t>
    </rPh>
    <rPh sb="2" eb="3">
      <t>グツ</t>
    </rPh>
    <phoneticPr fontId="1"/>
  </si>
  <si>
    <t>白の魔導衣</t>
    <rPh sb="0" eb="1">
      <t>シロ</t>
    </rPh>
    <rPh sb="2" eb="3">
      <t>マ</t>
    </rPh>
    <rPh sb="3" eb="4">
      <t>ミチビ</t>
    </rPh>
    <rPh sb="4" eb="5">
      <t>コロモ</t>
    </rPh>
    <phoneticPr fontId="1"/>
  </si>
  <si>
    <t>黒の魔導衣</t>
    <rPh sb="0" eb="1">
      <t>クロ</t>
    </rPh>
    <rPh sb="2" eb="3">
      <t>マ</t>
    </rPh>
    <rPh sb="3" eb="4">
      <t>ミチビ</t>
    </rPh>
    <rPh sb="4" eb="5">
      <t>コロモ</t>
    </rPh>
    <phoneticPr fontId="1"/>
  </si>
  <si>
    <t>聖者の衣</t>
    <rPh sb="0" eb="2">
      <t>セイジャ</t>
    </rPh>
    <rPh sb="3" eb="4">
      <t>コロモ</t>
    </rPh>
    <phoneticPr fontId="1"/>
  </si>
  <si>
    <t>金剛鉄の短剣</t>
    <rPh sb="0" eb="2">
      <t>コンゴウ</t>
    </rPh>
    <rPh sb="2" eb="3">
      <t>テツ</t>
    </rPh>
    <rPh sb="4" eb="6">
      <t>タンケン</t>
    </rPh>
    <phoneticPr fontId="1"/>
  </si>
  <si>
    <t>金剛鉄の鎧</t>
    <rPh sb="0" eb="2">
      <t>コンゴウ</t>
    </rPh>
    <rPh sb="2" eb="3">
      <t>テツ</t>
    </rPh>
    <rPh sb="4" eb="5">
      <t>ヨロイ</t>
    </rPh>
    <phoneticPr fontId="1"/>
  </si>
  <si>
    <t>金剛鉄の大盾</t>
    <rPh sb="0" eb="2">
      <t>コンゴウ</t>
    </rPh>
    <rPh sb="2" eb="3">
      <t>テツ</t>
    </rPh>
    <rPh sb="4" eb="5">
      <t>オオ</t>
    </rPh>
    <rPh sb="5" eb="6">
      <t>タテ</t>
    </rPh>
    <phoneticPr fontId="1"/>
  </si>
  <si>
    <t>金剛鉄の兜</t>
    <rPh sb="0" eb="2">
      <t>コンゴウ</t>
    </rPh>
    <rPh sb="2" eb="3">
      <t>テツ</t>
    </rPh>
    <rPh sb="4" eb="5">
      <t>カブト</t>
    </rPh>
    <phoneticPr fontId="1"/>
  </si>
  <si>
    <t>金剛鉄の装甲靴</t>
    <rPh sb="0" eb="2">
      <t>コンゴウ</t>
    </rPh>
    <rPh sb="2" eb="3">
      <t>テツ</t>
    </rPh>
    <rPh sb="4" eb="6">
      <t>ソウコウ</t>
    </rPh>
    <rPh sb="6" eb="7">
      <t>グツ</t>
    </rPh>
    <phoneticPr fontId="1"/>
  </si>
  <si>
    <t>　弓</t>
    <rPh sb="1" eb="2">
      <t>ユミ</t>
    </rPh>
    <phoneticPr fontId="1"/>
  </si>
  <si>
    <t>金剛鉄の槍</t>
    <rPh sb="0" eb="2">
      <t>コンゴウ</t>
    </rPh>
    <rPh sb="2" eb="3">
      <t>テツ</t>
    </rPh>
    <rPh sb="4" eb="5">
      <t>ヤリ</t>
    </rPh>
    <phoneticPr fontId="1"/>
  </si>
  <si>
    <t>槍</t>
    <rPh sb="0" eb="1">
      <t>ヤリ</t>
    </rPh>
    <phoneticPr fontId="1"/>
  </si>
  <si>
    <t>癒し手の衣</t>
    <rPh sb="0" eb="1">
      <t>イヤ</t>
    </rPh>
    <rPh sb="2" eb="3">
      <t>テ</t>
    </rPh>
    <rPh sb="4" eb="5">
      <t>コロモ</t>
    </rPh>
    <phoneticPr fontId="1"/>
  </si>
  <si>
    <t>木端微塵の大槌</t>
    <rPh sb="0" eb="2">
      <t>コッパ</t>
    </rPh>
    <rPh sb="2" eb="4">
      <t>ミジン</t>
    </rPh>
    <rPh sb="5" eb="6">
      <t>オオ</t>
    </rPh>
    <rPh sb="6" eb="7">
      <t>ツチ</t>
    </rPh>
    <phoneticPr fontId="1"/>
  </si>
  <si>
    <t>粉砕の大槌</t>
    <rPh sb="0" eb="2">
      <t>フンサイ</t>
    </rPh>
    <rPh sb="3" eb="4">
      <t>オオ</t>
    </rPh>
    <rPh sb="4" eb="5">
      <t>ツチ</t>
    </rPh>
    <phoneticPr fontId="1"/>
  </si>
  <si>
    <t>魔物断ちの大剣</t>
    <rPh sb="0" eb="2">
      <t>マモノ</t>
    </rPh>
    <rPh sb="2" eb="3">
      <t>タ</t>
    </rPh>
    <rPh sb="5" eb="6">
      <t>オオ</t>
    </rPh>
    <rPh sb="6" eb="7">
      <t>ツルギ</t>
    </rPh>
    <phoneticPr fontId="1"/>
  </si>
  <si>
    <t>金剛鉄の長剣</t>
    <rPh sb="0" eb="2">
      <t>コンゴウ</t>
    </rPh>
    <rPh sb="2" eb="3">
      <t>テツ</t>
    </rPh>
    <rPh sb="4" eb="6">
      <t>チョウケン</t>
    </rPh>
    <phoneticPr fontId="1"/>
  </si>
  <si>
    <t>金色の戦斧</t>
    <rPh sb="0" eb="2">
      <t>コンジキ</t>
    </rPh>
    <rPh sb="3" eb="4">
      <t>イクサ</t>
    </rPh>
    <rPh sb="4" eb="5">
      <t>オノ</t>
    </rPh>
    <phoneticPr fontId="1"/>
  </si>
  <si>
    <t>若木の弓</t>
    <rPh sb="0" eb="2">
      <t>ワカギ</t>
    </rPh>
    <rPh sb="3" eb="4">
      <t>ユミ</t>
    </rPh>
    <phoneticPr fontId="1"/>
  </si>
  <si>
    <t>成木の弓</t>
    <rPh sb="0" eb="2">
      <t>セイボク</t>
    </rPh>
    <rPh sb="3" eb="4">
      <t>ユミ</t>
    </rPh>
    <phoneticPr fontId="1"/>
  </si>
  <si>
    <t>老木の弓</t>
    <rPh sb="0" eb="2">
      <t>ロウボク</t>
    </rPh>
    <rPh sb="3" eb="4">
      <t>ユミ</t>
    </rPh>
    <phoneticPr fontId="1"/>
  </si>
  <si>
    <t>古木の弓</t>
    <rPh sb="0" eb="2">
      <t>コボク</t>
    </rPh>
    <rPh sb="3" eb="4">
      <t>ユミ</t>
    </rPh>
    <phoneticPr fontId="1"/>
  </si>
  <si>
    <t>不壊の盾</t>
    <rPh sb="0" eb="2">
      <t>フエ</t>
    </rPh>
    <rPh sb="3" eb="4">
      <t>タテ</t>
    </rPh>
    <phoneticPr fontId="1"/>
  </si>
  <si>
    <t>不屈の靴</t>
    <rPh sb="0" eb="2">
      <t>フクツ</t>
    </rPh>
    <rPh sb="3" eb="4">
      <t>クツ</t>
    </rPh>
    <phoneticPr fontId="1"/>
  </si>
  <si>
    <t>最高の指輪（売値３１５０）</t>
    <rPh sb="0" eb="2">
      <t>サイコウ</t>
    </rPh>
    <rPh sb="3" eb="5">
      <t>ユビワ</t>
    </rPh>
    <rPh sb="6" eb="8">
      <t>ウリネ</t>
    </rPh>
    <phoneticPr fontId="1"/>
  </si>
  <si>
    <t>無敵の兜</t>
    <rPh sb="0" eb="2">
      <t>ムテキ</t>
    </rPh>
    <rPh sb="3" eb="4">
      <t>カブト</t>
    </rPh>
    <phoneticPr fontId="1"/>
  </si>
  <si>
    <t>最強の小手</t>
    <rPh sb="0" eb="2">
      <t>サイキョウ</t>
    </rPh>
    <rPh sb="3" eb="5">
      <t>コテ</t>
    </rPh>
    <phoneticPr fontId="1"/>
  </si>
  <si>
    <t>魔法の長剣</t>
    <rPh sb="0" eb="2">
      <t>マホウ</t>
    </rPh>
    <rPh sb="3" eb="5">
      <t>チョウケン</t>
    </rPh>
    <phoneticPr fontId="1"/>
  </si>
  <si>
    <t>魔法の短剣</t>
    <rPh sb="0" eb="2">
      <t>マホウ</t>
    </rPh>
    <rPh sb="3" eb="5">
      <t>タンケン</t>
    </rPh>
    <phoneticPr fontId="1"/>
  </si>
  <si>
    <t>魔法の槍</t>
    <rPh sb="0" eb="2">
      <t>マホウ</t>
    </rPh>
    <rPh sb="3" eb="4">
      <t>ヤリ</t>
    </rPh>
    <phoneticPr fontId="1"/>
  </si>
  <si>
    <t>　槍</t>
    <rPh sb="1" eb="2">
      <t>ヤリ</t>
    </rPh>
    <phoneticPr fontId="1"/>
  </si>
  <si>
    <t>魔法の服</t>
    <rPh sb="0" eb="2">
      <t>マホウ</t>
    </rPh>
    <rPh sb="3" eb="4">
      <t>フク</t>
    </rPh>
    <phoneticPr fontId="1"/>
  </si>
  <si>
    <t>魔法の革鎧</t>
    <rPh sb="0" eb="2">
      <t>マホウ</t>
    </rPh>
    <rPh sb="3" eb="4">
      <t>カワ</t>
    </rPh>
    <rPh sb="4" eb="5">
      <t>ヨロイ</t>
    </rPh>
    <phoneticPr fontId="1"/>
  </si>
  <si>
    <t>魔法の盾</t>
    <rPh sb="0" eb="2">
      <t>マホウ</t>
    </rPh>
    <rPh sb="3" eb="4">
      <t>タテ</t>
    </rPh>
    <phoneticPr fontId="1"/>
  </si>
  <si>
    <t>魔法の大盾</t>
    <rPh sb="0" eb="2">
      <t>マホウ</t>
    </rPh>
    <rPh sb="3" eb="4">
      <t>オオ</t>
    </rPh>
    <rPh sb="4" eb="5">
      <t>タテ</t>
    </rPh>
    <phoneticPr fontId="1"/>
  </si>
  <si>
    <t>妖精の服</t>
    <rPh sb="0" eb="2">
      <t>ヨウセイ</t>
    </rPh>
    <rPh sb="3" eb="4">
      <t>フク</t>
    </rPh>
    <phoneticPr fontId="1"/>
  </si>
  <si>
    <t>妖精の革鎧</t>
    <rPh sb="0" eb="2">
      <t>ヨウセイ</t>
    </rPh>
    <rPh sb="3" eb="4">
      <t>カワ</t>
    </rPh>
    <rPh sb="4" eb="5">
      <t>ヨロイ</t>
    </rPh>
    <phoneticPr fontId="1"/>
  </si>
  <si>
    <t>業物の長剣</t>
    <rPh sb="0" eb="2">
      <t>ワザモノ</t>
    </rPh>
    <rPh sb="3" eb="5">
      <t>チョウケン</t>
    </rPh>
    <phoneticPr fontId="1"/>
  </si>
  <si>
    <t>業物の短剣</t>
    <rPh sb="3" eb="5">
      <t>タンケン</t>
    </rPh>
    <phoneticPr fontId="1"/>
  </si>
  <si>
    <t>業物の槍</t>
    <rPh sb="3" eb="4">
      <t>ヤリ</t>
    </rPh>
    <phoneticPr fontId="1"/>
  </si>
  <si>
    <t>業物の服</t>
    <rPh sb="3" eb="4">
      <t>フク</t>
    </rPh>
    <phoneticPr fontId="1"/>
  </si>
  <si>
    <t>業物の革鎧</t>
    <rPh sb="3" eb="4">
      <t>カワ</t>
    </rPh>
    <rPh sb="4" eb="5">
      <t>ヨロイ</t>
    </rPh>
    <phoneticPr fontId="1"/>
  </si>
  <si>
    <t>業物の盾</t>
    <rPh sb="3" eb="4">
      <t>タテ</t>
    </rPh>
    <phoneticPr fontId="1"/>
  </si>
  <si>
    <t>業物の大盾</t>
    <rPh sb="3" eb="4">
      <t>オオ</t>
    </rPh>
    <rPh sb="4" eb="5">
      <t>タテ</t>
    </rPh>
    <phoneticPr fontId="1"/>
  </si>
  <si>
    <t>業物の帽子</t>
    <rPh sb="0" eb="2">
      <t>ワザモノ</t>
    </rPh>
    <rPh sb="3" eb="5">
      <t>ボウシ</t>
    </rPh>
    <phoneticPr fontId="1"/>
  </si>
  <si>
    <t>業物の兜</t>
    <rPh sb="0" eb="2">
      <t>ワザモノ</t>
    </rPh>
    <rPh sb="3" eb="4">
      <t>カブト</t>
    </rPh>
    <phoneticPr fontId="1"/>
  </si>
  <si>
    <t>魔法の兜</t>
    <rPh sb="0" eb="2">
      <t>マホウ</t>
    </rPh>
    <rPh sb="3" eb="4">
      <t>カブト</t>
    </rPh>
    <phoneticPr fontId="1"/>
  </si>
  <si>
    <t>魔法の帽子</t>
    <rPh sb="0" eb="2">
      <t>マホウ</t>
    </rPh>
    <rPh sb="3" eb="5">
      <t>ボウシ</t>
    </rPh>
    <phoneticPr fontId="1"/>
  </si>
  <si>
    <t>業物の靴</t>
    <rPh sb="0" eb="2">
      <t>ワザモノ</t>
    </rPh>
    <rPh sb="3" eb="4">
      <t>クツ</t>
    </rPh>
    <phoneticPr fontId="1"/>
  </si>
  <si>
    <t>業物の装甲靴</t>
    <rPh sb="0" eb="2">
      <t>ワザモノ</t>
    </rPh>
    <rPh sb="3" eb="5">
      <t>ソウコウ</t>
    </rPh>
    <rPh sb="5" eb="6">
      <t>グツ</t>
    </rPh>
    <phoneticPr fontId="1"/>
  </si>
  <si>
    <t>魔法の靴</t>
    <rPh sb="0" eb="2">
      <t>マホウ</t>
    </rPh>
    <rPh sb="3" eb="4">
      <t>クツ</t>
    </rPh>
    <phoneticPr fontId="1"/>
  </si>
  <si>
    <t>魔法の装甲靴</t>
    <rPh sb="0" eb="2">
      <t>マホウ</t>
    </rPh>
    <rPh sb="3" eb="5">
      <t>ソウコウ</t>
    </rPh>
    <rPh sb="5" eb="6">
      <t>グツ</t>
    </rPh>
    <phoneticPr fontId="1"/>
  </si>
  <si>
    <t>　ランク4</t>
    <phoneticPr fontId="1"/>
  </si>
  <si>
    <t>イベント・換金</t>
    <rPh sb="5" eb="7">
      <t>カンキン</t>
    </rPh>
    <phoneticPr fontId="1"/>
  </si>
  <si>
    <t>はちみつ</t>
    <phoneticPr fontId="1"/>
  </si>
  <si>
    <t>きのこ</t>
    <phoneticPr fontId="1"/>
  </si>
  <si>
    <t>各種族への倍打</t>
    <rPh sb="0" eb="3">
      <t>カクシュゾク</t>
    </rPh>
    <rPh sb="5" eb="6">
      <t>バイ</t>
    </rPh>
    <rPh sb="6" eb="7">
      <t>ダ</t>
    </rPh>
    <phoneticPr fontId="1"/>
  </si>
  <si>
    <t>対～の指輪</t>
    <rPh sb="0" eb="1">
      <t>タイ</t>
    </rPh>
    <rPh sb="3" eb="5">
      <t>ユビワ</t>
    </rPh>
    <phoneticPr fontId="1"/>
  </si>
  <si>
    <t>沈黙、睡眠、毒、麻痺、石化</t>
    <rPh sb="0" eb="2">
      <t>チンモク</t>
    </rPh>
    <rPh sb="3" eb="5">
      <t>スイミン</t>
    </rPh>
    <rPh sb="6" eb="7">
      <t>ドク</t>
    </rPh>
    <rPh sb="8" eb="10">
      <t>マヒ</t>
    </rPh>
    <rPh sb="11" eb="13">
      <t>セッカ</t>
    </rPh>
    <phoneticPr fontId="1"/>
  </si>
  <si>
    <t>炎、冷気</t>
    <rPh sb="0" eb="1">
      <t>ホノオ</t>
    </rPh>
    <rPh sb="2" eb="4">
      <t>レイキ</t>
    </rPh>
    <phoneticPr fontId="1"/>
  </si>
  <si>
    <t>鈍色の戦斧</t>
    <rPh sb="0" eb="1">
      <t>ニブ</t>
    </rPh>
    <rPh sb="1" eb="2">
      <t>イロ</t>
    </rPh>
    <rPh sb="3" eb="4">
      <t>イクサ</t>
    </rPh>
    <rPh sb="4" eb="5">
      <t>オノ</t>
    </rPh>
    <phoneticPr fontId="1"/>
  </si>
  <si>
    <t>未使用種族</t>
    <rPh sb="0" eb="3">
      <t>ミシヨウ</t>
    </rPh>
    <rPh sb="3" eb="5">
      <t>シュゾク</t>
    </rPh>
    <phoneticPr fontId="1"/>
  </si>
  <si>
    <t>旋風の短剣</t>
    <rPh sb="0" eb="2">
      <t>センプウ</t>
    </rPh>
    <rPh sb="3" eb="5">
      <t>タンケン</t>
    </rPh>
    <phoneticPr fontId="1"/>
  </si>
  <si>
    <t xml:space="preserve"> d10</t>
    <phoneticPr fontId="1"/>
  </si>
  <si>
    <t xml:space="preserve"> d8</t>
    <phoneticPr fontId="1"/>
  </si>
  <si>
    <t xml:space="preserve"> d6</t>
    <phoneticPr fontId="1"/>
  </si>
  <si>
    <t xml:space="preserve"> d9</t>
    <phoneticPr fontId="1"/>
  </si>
  <si>
    <t xml:space="preserve"> d7</t>
    <phoneticPr fontId="1"/>
  </si>
  <si>
    <t xml:space="preserve"> d12</t>
    <phoneticPr fontId="1"/>
  </si>
  <si>
    <t>陽杖アフレイア</t>
    <rPh sb="0" eb="1">
      <t>ヨウ</t>
    </rPh>
    <rPh sb="1" eb="2">
      <t>ツエ</t>
    </rPh>
    <phoneticPr fontId="1"/>
  </si>
  <si>
    <t>閃弓サーレイン</t>
    <rPh sb="0" eb="1">
      <t>セン</t>
    </rPh>
    <rPh sb="1" eb="2">
      <t>ユミ</t>
    </rPh>
    <phoneticPr fontId="1"/>
  </si>
  <si>
    <t>雷槍シルヴィラ</t>
    <rPh sb="0" eb="1">
      <t>カミナリ</t>
    </rPh>
    <rPh sb="1" eb="2">
      <t>ヤリ</t>
    </rPh>
    <phoneticPr fontId="1"/>
  </si>
  <si>
    <t>　～避けの指輪</t>
    <rPh sb="2" eb="3">
      <t>ヨ</t>
    </rPh>
    <rPh sb="5" eb="7">
      <t>ユビワ</t>
    </rPh>
    <phoneticPr fontId="1"/>
  </si>
  <si>
    <t>盾（魔法系不可）</t>
    <rPh sb="0" eb="1">
      <t>タテ</t>
    </rPh>
    <rPh sb="2" eb="4">
      <t>マホウ</t>
    </rPh>
    <rPh sb="4" eb="5">
      <t>ケイ</t>
    </rPh>
    <rPh sb="5" eb="7">
      <t>フカ</t>
    </rPh>
    <phoneticPr fontId="1"/>
  </si>
  <si>
    <t>業物の鎧</t>
    <rPh sb="3" eb="4">
      <t>ヨロイ</t>
    </rPh>
    <phoneticPr fontId="1"/>
  </si>
  <si>
    <t>魔法の鎧</t>
    <rPh sb="0" eb="2">
      <t>マホウ</t>
    </rPh>
    <rPh sb="3" eb="4">
      <t>ヨロイ</t>
    </rPh>
    <phoneticPr fontId="1"/>
  </si>
  <si>
    <t>妖精の帽子</t>
    <rPh sb="0" eb="2">
      <t>ヨウセイ</t>
    </rPh>
    <rPh sb="3" eb="5">
      <t>ボウシ</t>
    </rPh>
    <phoneticPr fontId="1"/>
  </si>
  <si>
    <t>妖精の盾</t>
    <rPh sb="0" eb="2">
      <t>ヨウセイ</t>
    </rPh>
    <rPh sb="3" eb="4">
      <t>タテ</t>
    </rPh>
    <phoneticPr fontId="1"/>
  </si>
  <si>
    <t>妖精の靴</t>
    <rPh sb="0" eb="2">
      <t>ヨウセイ</t>
    </rPh>
    <rPh sb="3" eb="4">
      <t>クツ</t>
    </rPh>
    <phoneticPr fontId="1"/>
  </si>
  <si>
    <t>まじない師の衣</t>
    <rPh sb="4" eb="5">
      <t>シ</t>
    </rPh>
    <rPh sb="6" eb="7">
      <t>コロモ</t>
    </rPh>
    <phoneticPr fontId="1"/>
  </si>
  <si>
    <t>レベル</t>
    <phoneticPr fontId="1"/>
  </si>
  <si>
    <t>宝箱</t>
    <rPh sb="0" eb="1">
      <t>タカラ</t>
    </rPh>
    <rPh sb="1" eb="2">
      <t>バコ</t>
    </rPh>
    <phoneticPr fontId="1"/>
  </si>
  <si>
    <t>経験値</t>
    <rPh sb="0" eb="2">
      <t>ケイケン</t>
    </rPh>
    <rPh sb="2" eb="3">
      <t>チ</t>
    </rPh>
    <phoneticPr fontId="1"/>
  </si>
  <si>
    <t>ジャイアントリザード</t>
    <phoneticPr fontId="1"/>
  </si>
  <si>
    <t>ゴブリンロード</t>
    <phoneticPr fontId="1"/>
  </si>
  <si>
    <t>ゴブリンガード</t>
    <phoneticPr fontId="1"/>
  </si>
  <si>
    <t>ゴブリン</t>
    <phoneticPr fontId="1"/>
  </si>
  <si>
    <t>コボルド</t>
    <phoneticPr fontId="1"/>
  </si>
  <si>
    <t>ケイブウルフ</t>
    <phoneticPr fontId="1"/>
  </si>
  <si>
    <t>レッサードラゴン</t>
    <phoneticPr fontId="1"/>
  </si>
  <si>
    <t>ドラゴンパピー</t>
    <phoneticPr fontId="1"/>
  </si>
  <si>
    <t>火精フェニックス</t>
    <rPh sb="0" eb="1">
      <t>ヒ</t>
    </rPh>
    <rPh sb="1" eb="2">
      <t>セイ</t>
    </rPh>
    <phoneticPr fontId="1"/>
  </si>
  <si>
    <t>水神ティアマト</t>
    <rPh sb="0" eb="2">
      <t>スイジン</t>
    </rPh>
    <phoneticPr fontId="1"/>
  </si>
  <si>
    <t>地霊ベヒモス</t>
    <rPh sb="0" eb="1">
      <t>チ</t>
    </rPh>
    <rPh sb="1" eb="2">
      <t>レイ</t>
    </rPh>
    <phoneticPr fontId="1"/>
  </si>
  <si>
    <t>風魔イブリース</t>
    <rPh sb="0" eb="1">
      <t>カゼ</t>
    </rPh>
    <rPh sb="1" eb="2">
      <t>マ</t>
    </rPh>
    <phoneticPr fontId="1"/>
  </si>
  <si>
    <t>ガーディアン</t>
    <phoneticPr fontId="1"/>
  </si>
  <si>
    <t>階層</t>
    <rPh sb="0" eb="2">
      <t>カイソウ</t>
    </rPh>
    <phoneticPr fontId="1"/>
  </si>
  <si>
    <t>ＨＰ</t>
    <phoneticPr fontId="1"/>
  </si>
  <si>
    <t>ＡＣ</t>
    <phoneticPr fontId="1"/>
  </si>
  <si>
    <t>サイズ</t>
    <phoneticPr fontId="1"/>
  </si>
  <si>
    <t>特殊</t>
    <rPh sb="0" eb="2">
      <t>トクシュ</t>
    </rPh>
    <phoneticPr fontId="1"/>
  </si>
  <si>
    <t>ジャイアントラット</t>
    <phoneticPr fontId="1"/>
  </si>
  <si>
    <t>召喚</t>
    <rPh sb="0" eb="2">
      <t>ショウカン</t>
    </rPh>
    <phoneticPr fontId="1"/>
  </si>
  <si>
    <t>ヴァルチャー</t>
    <phoneticPr fontId="1"/>
  </si>
  <si>
    <t>後列</t>
    <rPh sb="0" eb="2">
      <t>コウレツ</t>
    </rPh>
    <phoneticPr fontId="1"/>
  </si>
  <si>
    <t>バイパー</t>
    <phoneticPr fontId="1"/>
  </si>
  <si>
    <t>毒</t>
    <rPh sb="0" eb="1">
      <t>ドク</t>
    </rPh>
    <phoneticPr fontId="1"/>
  </si>
  <si>
    <t>コボルド</t>
    <phoneticPr fontId="1"/>
  </si>
  <si>
    <t>キラーソーン</t>
    <phoneticPr fontId="1"/>
  </si>
  <si>
    <t>ボア</t>
    <phoneticPr fontId="1"/>
  </si>
  <si>
    <t>アースワーム</t>
    <phoneticPr fontId="1"/>
  </si>
  <si>
    <t>ラットフィーバー</t>
    <phoneticPr fontId="1"/>
  </si>
  <si>
    <t>キラービー</t>
    <phoneticPr fontId="1"/>
  </si>
  <si>
    <t>毒、後列</t>
    <rPh sb="0" eb="1">
      <t>ドク</t>
    </rPh>
    <rPh sb="2" eb="4">
      <t>コウレツ</t>
    </rPh>
    <phoneticPr fontId="1"/>
  </si>
  <si>
    <t>スケルトン</t>
    <phoneticPr fontId="1"/>
  </si>
  <si>
    <t>不死</t>
    <rPh sb="0" eb="2">
      <t>フシ</t>
    </rPh>
    <phoneticPr fontId="1"/>
  </si>
  <si>
    <t>コボルドドルイド</t>
    <phoneticPr fontId="1"/>
  </si>
  <si>
    <t>ビー・スウォーム</t>
    <phoneticPr fontId="1"/>
  </si>
  <si>
    <t>ファイアビートル</t>
    <phoneticPr fontId="1"/>
  </si>
  <si>
    <t>ブレス</t>
    <phoneticPr fontId="1"/>
  </si>
  <si>
    <t>Ｇアント</t>
    <phoneticPr fontId="1"/>
  </si>
  <si>
    <t>インプ</t>
    <phoneticPr fontId="1"/>
  </si>
  <si>
    <t>毒、魔法、後列</t>
    <rPh sb="0" eb="1">
      <t>ドク</t>
    </rPh>
    <rPh sb="2" eb="4">
      <t>マホウ</t>
    </rPh>
    <rPh sb="5" eb="7">
      <t>コウレツ</t>
    </rPh>
    <phoneticPr fontId="1"/>
  </si>
  <si>
    <t>ハーピー</t>
    <phoneticPr fontId="1"/>
  </si>
  <si>
    <t>後列、眠り</t>
    <rPh sb="0" eb="2">
      <t>コウレツ</t>
    </rPh>
    <rPh sb="3" eb="4">
      <t>ネム</t>
    </rPh>
    <phoneticPr fontId="1"/>
  </si>
  <si>
    <t>グリーンスライム</t>
    <phoneticPr fontId="1"/>
  </si>
  <si>
    <t>ゾンビ</t>
    <phoneticPr fontId="1"/>
  </si>
  <si>
    <t>毒、不死</t>
    <rPh sb="0" eb="1">
      <t>ドク</t>
    </rPh>
    <rPh sb="2" eb="4">
      <t>フシ</t>
    </rPh>
    <phoneticPr fontId="1"/>
  </si>
  <si>
    <t>ダークファイター</t>
    <phoneticPr fontId="1"/>
  </si>
  <si>
    <t>ダークローグ</t>
    <phoneticPr fontId="1"/>
  </si>
  <si>
    <t>ダークプリースト</t>
    <phoneticPr fontId="1"/>
  </si>
  <si>
    <t>ダークメイジ</t>
    <phoneticPr fontId="1"/>
  </si>
  <si>
    <t>魔法３</t>
    <rPh sb="0" eb="2">
      <t>マホウ</t>
    </rPh>
    <phoneticPr fontId="1"/>
  </si>
  <si>
    <t>ウッドゴーレム</t>
    <phoneticPr fontId="1"/>
  </si>
  <si>
    <t>再生</t>
    <rPh sb="0" eb="2">
      <t>サイセイ</t>
    </rPh>
    <phoneticPr fontId="1"/>
  </si>
  <si>
    <t>マラブンタ</t>
    <phoneticPr fontId="1"/>
  </si>
  <si>
    <t>グール</t>
    <phoneticPr fontId="1"/>
  </si>
  <si>
    <t>マヒ、不死</t>
    <rPh sb="3" eb="5">
      <t>フシ</t>
    </rPh>
    <phoneticPr fontId="1"/>
  </si>
  <si>
    <t>パイソン</t>
    <phoneticPr fontId="1"/>
  </si>
  <si>
    <t>レモンゼリー</t>
    <phoneticPr fontId="1"/>
  </si>
  <si>
    <t>バンパイアバット</t>
    <phoneticPr fontId="1"/>
  </si>
  <si>
    <t>後列、毒</t>
    <rPh sb="0" eb="2">
      <t>コウレツ</t>
    </rPh>
    <rPh sb="3" eb="4">
      <t>ドク</t>
    </rPh>
    <phoneticPr fontId="1"/>
  </si>
  <si>
    <t>ダークファイター</t>
    <phoneticPr fontId="1"/>
  </si>
  <si>
    <t>ダークローグ</t>
    <phoneticPr fontId="1"/>
  </si>
  <si>
    <t>ダークプリースト</t>
    <phoneticPr fontId="1"/>
  </si>
  <si>
    <t>ダークメイジ</t>
    <phoneticPr fontId="1"/>
  </si>
  <si>
    <t>Ｇスコーピオン</t>
    <phoneticPr fontId="1"/>
  </si>
  <si>
    <t>フロストリザード</t>
    <phoneticPr fontId="1"/>
  </si>
  <si>
    <t>ブレス</t>
    <phoneticPr fontId="1"/>
  </si>
  <si>
    <t>リザードマン</t>
    <phoneticPr fontId="1"/>
  </si>
  <si>
    <t>ブレス、後列</t>
    <rPh sb="4" eb="6">
      <t>コウレツ</t>
    </rPh>
    <phoneticPr fontId="1"/>
  </si>
  <si>
    <t>クレイゴーレム</t>
    <phoneticPr fontId="1"/>
  </si>
  <si>
    <t>リザードキング</t>
    <phoneticPr fontId="1"/>
  </si>
  <si>
    <t>パイソン・リバー</t>
    <phoneticPr fontId="1"/>
  </si>
  <si>
    <t>ケイブワーム</t>
    <phoneticPr fontId="1"/>
  </si>
  <si>
    <t>ファイアリザード</t>
    <phoneticPr fontId="1"/>
  </si>
  <si>
    <t>ファントム</t>
    <phoneticPr fontId="1"/>
  </si>
  <si>
    <t>ヘルハウンド</t>
    <phoneticPr fontId="1"/>
  </si>
  <si>
    <t>メデューサ</t>
    <phoneticPr fontId="1"/>
  </si>
  <si>
    <t>マミー</t>
    <phoneticPr fontId="1"/>
  </si>
  <si>
    <t>ダークナイト</t>
    <phoneticPr fontId="1"/>
  </si>
  <si>
    <t>ダークシーフ</t>
    <phoneticPr fontId="1"/>
  </si>
  <si>
    <t>ダークビショップ</t>
    <phoneticPr fontId="1"/>
  </si>
  <si>
    <t>ダークソーサラー</t>
    <phoneticPr fontId="1"/>
  </si>
  <si>
    <t>グリフォン</t>
    <phoneticPr fontId="1"/>
  </si>
  <si>
    <t>ワイバーン</t>
    <phoneticPr fontId="1"/>
  </si>
  <si>
    <t>スケルトンナイト</t>
    <phoneticPr fontId="1"/>
  </si>
  <si>
    <t>クロゴマプリン</t>
    <phoneticPr fontId="1"/>
  </si>
  <si>
    <t>オーガ</t>
    <phoneticPr fontId="1"/>
  </si>
  <si>
    <t>ブルーウィスプ</t>
    <phoneticPr fontId="1"/>
  </si>
  <si>
    <t>後列、ブレス、眠り</t>
    <rPh sb="0" eb="2">
      <t>コウレツ</t>
    </rPh>
    <rPh sb="7" eb="8">
      <t>ネム</t>
    </rPh>
    <phoneticPr fontId="1"/>
  </si>
  <si>
    <t>アビスワーム</t>
    <phoneticPr fontId="1"/>
  </si>
  <si>
    <t>デーモンメイジ</t>
    <phoneticPr fontId="1"/>
  </si>
  <si>
    <t>アイアンゴーレム</t>
    <phoneticPr fontId="1"/>
  </si>
  <si>
    <t>ブレス、後列、眠り</t>
    <rPh sb="4" eb="6">
      <t>コウレツ</t>
    </rPh>
    <rPh sb="7" eb="8">
      <t>ネム</t>
    </rPh>
    <phoneticPr fontId="1"/>
  </si>
  <si>
    <t>ケンタウロス</t>
    <phoneticPr fontId="1"/>
  </si>
  <si>
    <t>レイス</t>
    <phoneticPr fontId="1"/>
  </si>
  <si>
    <t>トロール</t>
    <phoneticPr fontId="1"/>
  </si>
  <si>
    <t>アオジルトロロ</t>
    <phoneticPr fontId="1"/>
  </si>
  <si>
    <t>デーモンメイジ</t>
    <phoneticPr fontId="1"/>
  </si>
  <si>
    <t>ロックトロール</t>
    <phoneticPr fontId="1"/>
  </si>
  <si>
    <t>ダークロード</t>
    <phoneticPr fontId="1"/>
  </si>
  <si>
    <t>ダークアサシン</t>
    <phoneticPr fontId="1"/>
  </si>
  <si>
    <t>ダークウィザード</t>
    <phoneticPr fontId="1"/>
  </si>
  <si>
    <t>バジリスク</t>
    <phoneticPr fontId="1"/>
  </si>
  <si>
    <t>石化、毒</t>
    <rPh sb="0" eb="2">
      <t>セッカ</t>
    </rPh>
    <rPh sb="3" eb="4">
      <t>ドク</t>
    </rPh>
    <phoneticPr fontId="1"/>
  </si>
  <si>
    <t>ブロンズゴーレム</t>
    <phoneticPr fontId="1"/>
  </si>
  <si>
    <t>ミノタウロス</t>
    <phoneticPr fontId="1"/>
  </si>
  <si>
    <t>レッドウィスプ</t>
    <phoneticPr fontId="1"/>
  </si>
  <si>
    <t>ジン</t>
    <phoneticPr fontId="1"/>
  </si>
  <si>
    <t>イフリート</t>
    <phoneticPr fontId="1"/>
  </si>
  <si>
    <t>デーモンナイト</t>
    <phoneticPr fontId="1"/>
  </si>
  <si>
    <t>ドラゴンゾンビ</t>
    <phoneticPr fontId="1"/>
  </si>
  <si>
    <t>ブレス、不死、毒</t>
    <rPh sb="4" eb="6">
      <t>フシ</t>
    </rPh>
    <rPh sb="7" eb="8">
      <t>ドク</t>
    </rPh>
    <phoneticPr fontId="1"/>
  </si>
  <si>
    <t>ストーンゴーレム</t>
    <phoneticPr fontId="1"/>
  </si>
  <si>
    <t>レッドドラゴン</t>
    <phoneticPr fontId="1"/>
  </si>
  <si>
    <t>ホワイトドラゴン</t>
    <phoneticPr fontId="1"/>
  </si>
  <si>
    <t>ブラウンドラゴン</t>
    <phoneticPr fontId="1"/>
  </si>
  <si>
    <t>マンティコア</t>
    <phoneticPr fontId="1"/>
  </si>
  <si>
    <t>ゴーストセージ</t>
    <phoneticPr fontId="1"/>
  </si>
  <si>
    <t>キマイラ</t>
    <phoneticPr fontId="1"/>
  </si>
  <si>
    <t>ブレス、毒、後列</t>
    <rPh sb="4" eb="5">
      <t>ドク</t>
    </rPh>
    <rPh sb="6" eb="8">
      <t>コウレツ</t>
    </rPh>
    <phoneticPr fontId="1"/>
  </si>
  <si>
    <t>デスナイト</t>
    <phoneticPr fontId="1"/>
  </si>
  <si>
    <t>バンパイアナイト</t>
    <phoneticPr fontId="1"/>
  </si>
  <si>
    <t>不死、眠り、再生</t>
    <rPh sb="0" eb="2">
      <t>フシ</t>
    </rPh>
    <rPh sb="3" eb="4">
      <t>ネム</t>
    </rPh>
    <rPh sb="6" eb="8">
      <t>サイセイ</t>
    </rPh>
    <phoneticPr fontId="1"/>
  </si>
  <si>
    <t>アヴェンジャー</t>
    <phoneticPr fontId="1"/>
  </si>
  <si>
    <t>スレイヤー</t>
    <phoneticPr fontId="1"/>
  </si>
  <si>
    <t>毒、マヒ、後列</t>
    <rPh sb="0" eb="1">
      <t>ドク</t>
    </rPh>
    <rPh sb="5" eb="7">
      <t>コウレツ</t>
    </rPh>
    <phoneticPr fontId="1"/>
  </si>
  <si>
    <t>ディプレイバー</t>
    <phoneticPr fontId="1"/>
  </si>
  <si>
    <t>ヒュドラ</t>
    <phoneticPr fontId="1"/>
  </si>
  <si>
    <t>毒、再生</t>
    <rPh sb="0" eb="1">
      <t>ドク</t>
    </rPh>
    <rPh sb="2" eb="4">
      <t>サイセイ</t>
    </rPh>
    <phoneticPr fontId="1"/>
  </si>
  <si>
    <t>サイクロプス</t>
    <phoneticPr fontId="1"/>
  </si>
  <si>
    <t>ファイアドラゴン</t>
    <phoneticPr fontId="1"/>
  </si>
  <si>
    <t>フロストドラゴン</t>
    <phoneticPr fontId="1"/>
  </si>
  <si>
    <t>クレイドラゴン</t>
    <phoneticPr fontId="1"/>
  </si>
  <si>
    <t>ストームバード</t>
    <phoneticPr fontId="1"/>
  </si>
  <si>
    <t>スフィンクス</t>
    <phoneticPr fontId="1"/>
  </si>
  <si>
    <t>魔法6、後列</t>
    <rPh sb="0" eb="2">
      <t>マホウ</t>
    </rPh>
    <rPh sb="4" eb="6">
      <t>コウレツ</t>
    </rPh>
    <phoneticPr fontId="1"/>
  </si>
  <si>
    <t>シルバーゴーレム</t>
    <phoneticPr fontId="1"/>
  </si>
  <si>
    <t>ドレイク</t>
    <phoneticPr fontId="1"/>
  </si>
  <si>
    <t>ケルベロス</t>
    <phoneticPr fontId="1"/>
  </si>
  <si>
    <t>ブレス、毒</t>
    <rPh sb="4" eb="5">
      <t>ドク</t>
    </rPh>
    <phoneticPr fontId="1"/>
  </si>
  <si>
    <t>タイタン</t>
    <phoneticPr fontId="1"/>
  </si>
  <si>
    <t>バンパイアロード</t>
    <phoneticPr fontId="1"/>
  </si>
  <si>
    <t>デーモンロード</t>
    <phoneticPr fontId="1"/>
  </si>
  <si>
    <t>ブレイズドラゴン</t>
    <phoneticPr fontId="1"/>
  </si>
  <si>
    <t>アイスドラゴン</t>
    <phoneticPr fontId="1"/>
  </si>
  <si>
    <t>後列、ブレス、再生</t>
    <rPh sb="0" eb="2">
      <t>コウレツ</t>
    </rPh>
    <rPh sb="7" eb="9">
      <t>サイセイ</t>
    </rPh>
    <phoneticPr fontId="1"/>
  </si>
  <si>
    <t>後列</t>
    <rPh sb="0" eb="2">
      <t>コウレツ</t>
    </rPh>
    <phoneticPr fontId="1"/>
  </si>
  <si>
    <t>コボルドチーフ</t>
    <phoneticPr fontId="1"/>
  </si>
  <si>
    <t>ジャイアントバット</t>
    <phoneticPr fontId="1"/>
  </si>
  <si>
    <t>スライム・ウェイブ</t>
    <phoneticPr fontId="1"/>
  </si>
  <si>
    <t>コボルドランサー</t>
    <phoneticPr fontId="1"/>
  </si>
  <si>
    <t>ボス</t>
    <phoneticPr fontId="1"/>
  </si>
  <si>
    <t>シュガーマッシュルーム</t>
    <phoneticPr fontId="1"/>
  </si>
  <si>
    <t>クイーンビー</t>
    <phoneticPr fontId="1"/>
  </si>
  <si>
    <t>毒、後列</t>
    <rPh sb="0" eb="1">
      <t>ドク</t>
    </rPh>
    <rPh sb="2" eb="4">
      <t>コウレツ</t>
    </rPh>
    <phoneticPr fontId="1"/>
  </si>
  <si>
    <t>アースドラゴン</t>
    <phoneticPr fontId="1"/>
  </si>
  <si>
    <t>アップルババロア</t>
    <phoneticPr fontId="1"/>
  </si>
  <si>
    <t>デーモンウィザード</t>
    <phoneticPr fontId="1"/>
  </si>
  <si>
    <t>魔法2</t>
    <rPh sb="0" eb="2">
      <t>マホウ</t>
    </rPh>
    <phoneticPr fontId="1"/>
  </si>
  <si>
    <t>魔法２</t>
    <rPh sb="0" eb="2">
      <t>マホウ</t>
    </rPh>
    <phoneticPr fontId="1"/>
  </si>
  <si>
    <t>魔法２２</t>
    <rPh sb="0" eb="2">
      <t>マホウ</t>
    </rPh>
    <phoneticPr fontId="1"/>
  </si>
  <si>
    <t>ダークカーディナル</t>
    <phoneticPr fontId="1"/>
  </si>
  <si>
    <t>魔法６</t>
    <rPh sb="0" eb="2">
      <t>マホウ</t>
    </rPh>
    <phoneticPr fontId="1"/>
  </si>
  <si>
    <t>マヒ、魔法５</t>
    <rPh sb="3" eb="5">
      <t>マホウ</t>
    </rPh>
    <phoneticPr fontId="1"/>
  </si>
  <si>
    <t>石化、魔法６</t>
    <rPh sb="0" eb="2">
      <t>セッカ</t>
    </rPh>
    <rPh sb="3" eb="5">
      <t>マホウ</t>
    </rPh>
    <phoneticPr fontId="1"/>
  </si>
  <si>
    <t>魔法１1</t>
    <rPh sb="0" eb="2">
      <t>マホウ</t>
    </rPh>
    <phoneticPr fontId="1"/>
  </si>
  <si>
    <t>ジャイアント</t>
    <phoneticPr fontId="1"/>
  </si>
  <si>
    <t>ケンタウロスレインジャー</t>
    <phoneticPr fontId="1"/>
  </si>
  <si>
    <t>ミノタウロスバーサーカー</t>
    <phoneticPr fontId="1"/>
  </si>
  <si>
    <t>ケイブジャイアント</t>
    <phoneticPr fontId="1"/>
  </si>
  <si>
    <t>フロストジャイアント</t>
    <phoneticPr fontId="1"/>
  </si>
  <si>
    <t>ファイアジャイアント</t>
    <phoneticPr fontId="1"/>
  </si>
  <si>
    <t>デーモンファイター</t>
    <phoneticPr fontId="1"/>
  </si>
  <si>
    <t>デーモンジェネラル</t>
    <phoneticPr fontId="1"/>
  </si>
  <si>
    <t>ミノタウロス・カーニバル</t>
    <phoneticPr fontId="1"/>
  </si>
  <si>
    <t>*</t>
    <phoneticPr fontId="1"/>
  </si>
  <si>
    <t>*</t>
    <phoneticPr fontId="1"/>
  </si>
  <si>
    <t>毒、後列、召喚</t>
    <rPh sb="0" eb="1">
      <t>ドク</t>
    </rPh>
    <rPh sb="2" eb="4">
      <t>コウレツ</t>
    </rPh>
    <rPh sb="5" eb="7">
      <t>ショウカン</t>
    </rPh>
    <phoneticPr fontId="1"/>
  </si>
  <si>
    <t>眠り、後列</t>
    <rPh sb="0" eb="1">
      <t>ネム</t>
    </rPh>
    <rPh sb="3" eb="5">
      <t>コウレツ</t>
    </rPh>
    <phoneticPr fontId="1"/>
  </si>
  <si>
    <t>後列</t>
    <rPh sb="0" eb="2">
      <t>コウレツ</t>
    </rPh>
    <phoneticPr fontId="1"/>
  </si>
  <si>
    <t>宝箱ランク</t>
    <rPh sb="0" eb="1">
      <t>タカラ</t>
    </rPh>
    <rPh sb="1" eb="2">
      <t>バコ</t>
    </rPh>
    <phoneticPr fontId="1"/>
  </si>
  <si>
    <t>武器Ｄ</t>
    <rPh sb="0" eb="2">
      <t>ブキ</t>
    </rPh>
    <phoneticPr fontId="1"/>
  </si>
  <si>
    <t>武器Ｃ</t>
    <rPh sb="0" eb="2">
      <t>ブキ</t>
    </rPh>
    <phoneticPr fontId="1"/>
  </si>
  <si>
    <t>武器Ｂ</t>
    <rPh sb="0" eb="2">
      <t>ブキ</t>
    </rPh>
    <phoneticPr fontId="1"/>
  </si>
  <si>
    <t>武器Ａ</t>
    <rPh sb="0" eb="2">
      <t>ブキ</t>
    </rPh>
    <phoneticPr fontId="1"/>
  </si>
  <si>
    <t>アイテム</t>
    <phoneticPr fontId="1"/>
  </si>
  <si>
    <t>武器Ｓ</t>
    <rPh sb="0" eb="2">
      <t>ブキ</t>
    </rPh>
    <phoneticPr fontId="1"/>
  </si>
  <si>
    <t>防具Ａ</t>
    <rPh sb="0" eb="2">
      <t>ボウグ</t>
    </rPh>
    <phoneticPr fontId="1"/>
  </si>
  <si>
    <t>防具Ｂ</t>
    <rPh sb="0" eb="2">
      <t>ボウグ</t>
    </rPh>
    <phoneticPr fontId="1"/>
  </si>
  <si>
    <t>防具Ｃ</t>
    <rPh sb="0" eb="2">
      <t>ボウグ</t>
    </rPh>
    <phoneticPr fontId="1"/>
  </si>
  <si>
    <t>防具Ｄ</t>
    <rPh sb="0" eb="2">
      <t>ボウグ</t>
    </rPh>
    <phoneticPr fontId="1"/>
  </si>
  <si>
    <t>道具Ｃ</t>
    <rPh sb="0" eb="2">
      <t>ドウグ</t>
    </rPh>
    <phoneticPr fontId="1"/>
  </si>
  <si>
    <t>道具Ｂ</t>
    <rPh sb="0" eb="2">
      <t>ドウグ</t>
    </rPh>
    <phoneticPr fontId="1"/>
  </si>
  <si>
    <t>道具Ａ</t>
    <rPh sb="0" eb="2">
      <t>ドウグ</t>
    </rPh>
    <phoneticPr fontId="1"/>
  </si>
  <si>
    <t>　傷薬</t>
    <rPh sb="1" eb="3">
      <t>キズグスリ</t>
    </rPh>
    <phoneticPr fontId="1"/>
  </si>
  <si>
    <t>　高級傷薬</t>
    <rPh sb="1" eb="3">
      <t>コウキュウ</t>
    </rPh>
    <rPh sb="3" eb="5">
      <t>キズグスリ</t>
    </rPh>
    <phoneticPr fontId="1"/>
  </si>
  <si>
    <t>　癒しの香</t>
    <rPh sb="1" eb="2">
      <t>イヤ</t>
    </rPh>
    <rPh sb="4" eb="5">
      <t>コウ</t>
    </rPh>
    <phoneticPr fontId="1"/>
  </si>
  <si>
    <t>　浄化の香</t>
    <rPh sb="1" eb="3">
      <t>ジョウカ</t>
    </rPh>
    <rPh sb="4" eb="5">
      <t>コウ</t>
    </rPh>
    <phoneticPr fontId="1"/>
  </si>
  <si>
    <t>　万能薬</t>
    <rPh sb="1" eb="4">
      <t>バンノウヤク</t>
    </rPh>
    <phoneticPr fontId="1"/>
  </si>
  <si>
    <t>　銀の投げ矢</t>
    <rPh sb="1" eb="2">
      <t>ギン</t>
    </rPh>
    <rPh sb="3" eb="4">
      <t>ナ</t>
    </rPh>
    <rPh sb="5" eb="6">
      <t>ヤ</t>
    </rPh>
    <phoneticPr fontId="1"/>
  </si>
  <si>
    <t>　魔法の地図</t>
    <rPh sb="1" eb="3">
      <t>マホウ</t>
    </rPh>
    <rPh sb="4" eb="6">
      <t>チズ</t>
    </rPh>
    <phoneticPr fontId="1"/>
  </si>
  <si>
    <t>ジャイアントクラブ</t>
    <phoneticPr fontId="1"/>
  </si>
  <si>
    <t>毒、再生</t>
    <rPh sb="0" eb="1">
      <t>ドク</t>
    </rPh>
    <phoneticPr fontId="1"/>
  </si>
  <si>
    <t>石化、再生</t>
    <rPh sb="0" eb="2">
      <t>セッカ</t>
    </rPh>
    <phoneticPr fontId="1"/>
  </si>
  <si>
    <t>マヒ、再生</t>
    <phoneticPr fontId="1"/>
  </si>
  <si>
    <t>後列</t>
    <rPh sb="0" eb="2">
      <t>コウレツ</t>
    </rPh>
    <phoneticPr fontId="1"/>
  </si>
  <si>
    <t>ゴブリン護衛兵</t>
    <rPh sb="4" eb="6">
      <t>ゴエイ</t>
    </rPh>
    <rPh sb="6" eb="7">
      <t>ヘイ</t>
    </rPh>
    <phoneticPr fontId="1"/>
  </si>
  <si>
    <t>オーガ大盾兵</t>
    <rPh sb="3" eb="4">
      <t>オオ</t>
    </rPh>
    <rPh sb="4" eb="5">
      <t>タテ</t>
    </rPh>
    <rPh sb="5" eb="6">
      <t>ヘイ</t>
    </rPh>
    <phoneticPr fontId="1"/>
  </si>
  <si>
    <t>格</t>
    <rPh sb="0" eb="1">
      <t>カク</t>
    </rPh>
    <phoneticPr fontId="1"/>
  </si>
  <si>
    <t>ブラスター</t>
    <phoneticPr fontId="1"/>
  </si>
  <si>
    <t>ボーンゴーレム</t>
    <phoneticPr fontId="1"/>
  </si>
  <si>
    <t>魔法2、後列、不死</t>
    <rPh sb="0" eb="2">
      <t>マホウ</t>
    </rPh>
    <rPh sb="4" eb="6">
      <t>コウレツ</t>
    </rPh>
    <rPh sb="7" eb="9">
      <t>フシ</t>
    </rPh>
    <phoneticPr fontId="1"/>
  </si>
  <si>
    <t>毒、石化</t>
    <rPh sb="0" eb="1">
      <t>ドク</t>
    </rPh>
    <rPh sb="2" eb="4">
      <t>セッカ</t>
    </rPh>
    <phoneticPr fontId="1"/>
  </si>
  <si>
    <t>毒、睡眠、不死</t>
    <rPh sb="0" eb="1">
      <t>ドク</t>
    </rPh>
    <rPh sb="2" eb="4">
      <t>スイミン</t>
    </rPh>
    <rPh sb="5" eb="7">
      <t>フシ</t>
    </rPh>
    <phoneticPr fontId="1"/>
  </si>
  <si>
    <t>眠り、不死</t>
    <rPh sb="0" eb="1">
      <t>ネム</t>
    </rPh>
    <rPh sb="3" eb="5">
      <t>フシ</t>
    </rPh>
    <phoneticPr fontId="1"/>
  </si>
  <si>
    <t>マヒ</t>
    <phoneticPr fontId="1"/>
  </si>
  <si>
    <t>魔法４</t>
    <rPh sb="0" eb="2">
      <t>マホウ</t>
    </rPh>
    <phoneticPr fontId="1"/>
  </si>
  <si>
    <t>タイタン巨盾兵</t>
    <rPh sb="4" eb="5">
      <t>キョ</t>
    </rPh>
    <rPh sb="5" eb="6">
      <t>タテ</t>
    </rPh>
    <rPh sb="6" eb="7">
      <t>ヘイ</t>
    </rPh>
    <phoneticPr fontId="1"/>
  </si>
  <si>
    <t>後列</t>
    <rPh sb="0" eb="2">
      <t>コウレツ</t>
    </rPh>
    <phoneticPr fontId="1"/>
  </si>
  <si>
    <t>クロコダイル</t>
    <phoneticPr fontId="1"/>
  </si>
  <si>
    <t>ウォーターアネモネ</t>
    <phoneticPr fontId="1"/>
  </si>
  <si>
    <t>マヒ</t>
    <phoneticPr fontId="1"/>
  </si>
  <si>
    <t>スケルトンロード</t>
    <phoneticPr fontId="1"/>
  </si>
  <si>
    <t>スペクター</t>
    <phoneticPr fontId="1"/>
  </si>
  <si>
    <t>睡眠、後列、魔法３、不死</t>
    <rPh sb="0" eb="2">
      <t>スイミン</t>
    </rPh>
    <rPh sb="3" eb="5">
      <t>コウレツ</t>
    </rPh>
    <rPh sb="6" eb="8">
      <t>マホウ</t>
    </rPh>
    <rPh sb="10" eb="12">
      <t>フシ</t>
    </rPh>
    <phoneticPr fontId="1"/>
  </si>
  <si>
    <t>睡眠、後列、魔法４、不死</t>
    <rPh sb="0" eb="2">
      <t>スイミン</t>
    </rPh>
    <rPh sb="3" eb="5">
      <t>コウレツ</t>
    </rPh>
    <rPh sb="6" eb="8">
      <t>マホウ</t>
    </rPh>
    <rPh sb="10" eb="12">
      <t>フシ</t>
    </rPh>
    <phoneticPr fontId="1"/>
  </si>
  <si>
    <t>ナイトフライヤー</t>
    <phoneticPr fontId="1"/>
  </si>
  <si>
    <t>毒、眠り、召喚</t>
    <rPh sb="0" eb="1">
      <t>ドク</t>
    </rPh>
    <rPh sb="2" eb="3">
      <t>ネム</t>
    </rPh>
    <rPh sb="5" eb="7">
      <t>ショウカン</t>
    </rPh>
    <phoneticPr fontId="1"/>
  </si>
  <si>
    <t>再生</t>
    <rPh sb="0" eb="2">
      <t>サイセイ</t>
    </rPh>
    <phoneticPr fontId="1"/>
  </si>
  <si>
    <t>眠り、再生、不死、敵黒魔法（マヒ）</t>
    <rPh sb="0" eb="1">
      <t>ネム</t>
    </rPh>
    <rPh sb="3" eb="5">
      <t>サイセイ</t>
    </rPh>
    <rPh sb="6" eb="8">
      <t>フシ</t>
    </rPh>
    <rPh sb="9" eb="10">
      <t>テキ</t>
    </rPh>
    <rPh sb="10" eb="11">
      <t>クロ</t>
    </rPh>
    <rPh sb="11" eb="13">
      <t>マホウ</t>
    </rPh>
    <phoneticPr fontId="1"/>
  </si>
  <si>
    <t>毒、再生、後列</t>
    <rPh sb="0" eb="1">
      <t>ドク</t>
    </rPh>
    <rPh sb="2" eb="4">
      <t>サイセイ</t>
    </rPh>
    <rPh sb="5" eb="7">
      <t>コウレツ</t>
    </rPh>
    <phoneticPr fontId="1"/>
  </si>
  <si>
    <t>魔法5</t>
    <rPh sb="0" eb="2">
      <t>マホウ</t>
    </rPh>
    <phoneticPr fontId="1"/>
  </si>
  <si>
    <t>マヒ</t>
    <phoneticPr fontId="1"/>
  </si>
  <si>
    <t>ジャーン</t>
    <phoneticPr fontId="1"/>
  </si>
  <si>
    <t>再生、魔法３</t>
    <rPh sb="0" eb="2">
      <t>サイセイ</t>
    </rPh>
    <rPh sb="3" eb="5">
      <t>マホウ</t>
    </rPh>
    <phoneticPr fontId="1"/>
  </si>
  <si>
    <t>ケンタウロス・ハード</t>
    <phoneticPr fontId="1"/>
  </si>
  <si>
    <t>後列</t>
    <rPh sb="0" eb="2">
      <t>コウレツ</t>
    </rPh>
    <phoneticPr fontId="1"/>
  </si>
  <si>
    <t>ケンタウロスヒーラー</t>
    <phoneticPr fontId="1"/>
  </si>
  <si>
    <t>グレープムース</t>
    <phoneticPr fontId="1"/>
  </si>
  <si>
    <t>シャイターン</t>
    <phoneticPr fontId="1"/>
  </si>
  <si>
    <t>ジャーン＋</t>
    <phoneticPr fontId="1"/>
  </si>
  <si>
    <t>マリード</t>
    <phoneticPr fontId="1"/>
  </si>
  <si>
    <t>ハニーヨーグルト</t>
    <phoneticPr fontId="1"/>
  </si>
  <si>
    <t>毒、マヒ、再生</t>
    <rPh sb="0" eb="1">
      <t>ドク</t>
    </rPh>
    <phoneticPr fontId="1"/>
  </si>
  <si>
    <t>不死、魔法５５、後列、睡眠</t>
    <rPh sb="0" eb="2">
      <t>フシ</t>
    </rPh>
    <rPh sb="3" eb="5">
      <t>マホウ</t>
    </rPh>
    <rPh sb="8" eb="10">
      <t>コウレツ</t>
    </rPh>
    <rPh sb="11" eb="13">
      <t>スイミン</t>
    </rPh>
    <phoneticPr fontId="1"/>
  </si>
  <si>
    <t>マヒ</t>
    <phoneticPr fontId="1"/>
  </si>
  <si>
    <t>毒、マヒ、石化、再生</t>
    <rPh sb="0" eb="1">
      <t>ドク</t>
    </rPh>
    <rPh sb="5" eb="7">
      <t>セッカ</t>
    </rPh>
    <phoneticPr fontId="1"/>
  </si>
  <si>
    <t>魔法５5、後列</t>
    <rPh sb="0" eb="2">
      <t>マホウ</t>
    </rPh>
    <rPh sb="5" eb="7">
      <t>コウレツ</t>
    </rPh>
    <phoneticPr fontId="1"/>
  </si>
  <si>
    <t>石化</t>
    <rPh sb="0" eb="2">
      <t>セッカ</t>
    </rPh>
    <phoneticPr fontId="1"/>
  </si>
  <si>
    <t>バードストライク</t>
    <phoneticPr fontId="1"/>
  </si>
  <si>
    <t>不死、眠り、再生、敵黒魔法（マヒ）</t>
    <rPh sb="0" eb="2">
      <t>フシ</t>
    </rPh>
    <rPh sb="3" eb="4">
      <t>ネム</t>
    </rPh>
    <rPh sb="6" eb="8">
      <t>サイセイ</t>
    </rPh>
    <phoneticPr fontId="1"/>
  </si>
  <si>
    <t>火</t>
    <rPh sb="0" eb="1">
      <t>ヒ</t>
    </rPh>
    <phoneticPr fontId="1"/>
  </si>
  <si>
    <t>水</t>
    <rPh sb="0" eb="1">
      <t>ミズ</t>
    </rPh>
    <phoneticPr fontId="1"/>
  </si>
  <si>
    <t>土</t>
    <rPh sb="0" eb="1">
      <t>ツチ</t>
    </rPh>
    <phoneticPr fontId="1"/>
  </si>
  <si>
    <t>風</t>
    <rPh sb="0" eb="1">
      <t>カゼ</t>
    </rPh>
    <phoneticPr fontId="1"/>
  </si>
  <si>
    <t>人間（戦士、僧侶、魔法使い、盗賊）、巨人、竜、動物（昆虫、獣人）、悪魔、魔法生物＋不死＋謎</t>
    <rPh sb="0" eb="2">
      <t>ニンゲン</t>
    </rPh>
    <rPh sb="3" eb="5">
      <t>センシ</t>
    </rPh>
    <rPh sb="6" eb="8">
      <t>ソウリョ</t>
    </rPh>
    <rPh sb="9" eb="12">
      <t>マホウツカ</t>
    </rPh>
    <rPh sb="14" eb="16">
      <t>トウゾク</t>
    </rPh>
    <rPh sb="18" eb="20">
      <t>キョジン</t>
    </rPh>
    <rPh sb="21" eb="22">
      <t>リュウ</t>
    </rPh>
    <rPh sb="23" eb="25">
      <t>ドウブツ</t>
    </rPh>
    <rPh sb="26" eb="28">
      <t>コンチュウ</t>
    </rPh>
    <rPh sb="29" eb="30">
      <t>ジュウ</t>
    </rPh>
    <rPh sb="30" eb="31">
      <t>ジン</t>
    </rPh>
    <rPh sb="33" eb="35">
      <t>アクマ</t>
    </rPh>
    <rPh sb="36" eb="38">
      <t>マホウ</t>
    </rPh>
    <rPh sb="38" eb="40">
      <t>セイブツ</t>
    </rPh>
    <rPh sb="41" eb="43">
      <t>フシ</t>
    </rPh>
    <rPh sb="44" eb="45">
      <t>ナゾ</t>
    </rPh>
    <phoneticPr fontId="1"/>
  </si>
  <si>
    <t>　鎧</t>
    <rPh sb="1" eb="2">
      <t>ヨロイ</t>
    </rPh>
    <phoneticPr fontId="1"/>
  </si>
  <si>
    <t>　重鎧</t>
    <rPh sb="1" eb="2">
      <t>ジュウ</t>
    </rPh>
    <rPh sb="2" eb="3">
      <t>ヨロイ</t>
    </rPh>
    <phoneticPr fontId="1"/>
  </si>
  <si>
    <t>重鎧</t>
    <rPh sb="0" eb="1">
      <t>オモ</t>
    </rPh>
    <rPh sb="1" eb="2">
      <t>ヨロイ</t>
    </rPh>
    <phoneticPr fontId="1"/>
  </si>
  <si>
    <t>物防</t>
    <rPh sb="0" eb="1">
      <t>ブツ</t>
    </rPh>
    <rPh sb="1" eb="2">
      <t>ボウ</t>
    </rPh>
    <phoneticPr fontId="1"/>
  </si>
  <si>
    <t>魔防</t>
    <rPh sb="0" eb="1">
      <t>マ</t>
    </rPh>
    <rPh sb="1" eb="2">
      <t>ボウ</t>
    </rPh>
    <phoneticPr fontId="1"/>
  </si>
  <si>
    <t xml:space="preserve"> </t>
    <phoneticPr fontId="1"/>
  </si>
  <si>
    <t>知者の衣</t>
    <rPh sb="0" eb="2">
      <t>チシャ</t>
    </rPh>
    <rPh sb="3" eb="4">
      <t>コロモ</t>
    </rPh>
    <phoneticPr fontId="1"/>
  </si>
  <si>
    <t>ラズベル消える</t>
    <rPh sb="4" eb="5">
      <t>キ</t>
    </rPh>
    <phoneticPr fontId="1"/>
  </si>
  <si>
    <t>ラズベル初回</t>
    <rPh sb="4" eb="6">
      <t>ショカイ</t>
    </rPh>
    <phoneticPr fontId="1"/>
  </si>
  <si>
    <t>ラズベルお冷</t>
    <rPh sb="5" eb="6">
      <t>ヒヤ</t>
    </rPh>
    <phoneticPr fontId="1"/>
  </si>
  <si>
    <t>２の後で遺跡から帰る</t>
    <rPh sb="2" eb="3">
      <t>アト</t>
    </rPh>
    <rPh sb="4" eb="6">
      <t>イセキ</t>
    </rPh>
    <rPh sb="8" eb="9">
      <t>カエ</t>
    </rPh>
    <phoneticPr fontId="1"/>
  </si>
  <si>
    <t>焼きキノコ</t>
    <rPh sb="0" eb="1">
      <t>ヤ</t>
    </rPh>
    <phoneticPr fontId="1"/>
  </si>
  <si>
    <t>Ｂ１へ</t>
    <phoneticPr fontId="1"/>
  </si>
  <si>
    <t>ラズベルージャム（ハチミツイベント）発生</t>
    <rPh sb="18" eb="20">
      <t>ハッセイ</t>
    </rPh>
    <phoneticPr fontId="1"/>
  </si>
  <si>
    <t>ラズベルージャム（ハチミツイベント）予告</t>
    <rPh sb="18" eb="20">
      <t>ヨコク</t>
    </rPh>
    <phoneticPr fontId="1"/>
  </si>
  <si>
    <t>ラズベルージャム（ハチミツイベント）終了</t>
    <rPh sb="18" eb="20">
      <t>シュウリョウ</t>
    </rPh>
    <phoneticPr fontId="1"/>
  </si>
  <si>
    <t>ラズベル会話</t>
    <rPh sb="4" eb="6">
      <t>カイワ</t>
    </rPh>
    <phoneticPr fontId="1"/>
  </si>
  <si>
    <t>Ｂ４へ、デュナス出現、海賊ヒント</t>
    <rPh sb="8" eb="10">
      <t>シュツゲン</t>
    </rPh>
    <rPh sb="11" eb="13">
      <t>カイゾク</t>
    </rPh>
    <phoneticPr fontId="1"/>
  </si>
  <si>
    <t>「わ・た・し」を見る</t>
    <rPh sb="8" eb="9">
      <t>ミ</t>
    </rPh>
    <phoneticPr fontId="1"/>
  </si>
  <si>
    <t>「た・わ・し」を見る</t>
    <rPh sb="8" eb="9">
      <t>ミ</t>
    </rPh>
    <phoneticPr fontId="1"/>
  </si>
  <si>
    <t>ラズベル休暇</t>
    <rPh sb="4" eb="6">
      <t>キュウカ</t>
    </rPh>
    <phoneticPr fontId="1"/>
  </si>
  <si>
    <t>カニ鍋パーティ終了</t>
    <rPh sb="2" eb="3">
      <t>ナベ</t>
    </rPh>
    <rPh sb="7" eb="9">
      <t>シュウリョウ</t>
    </rPh>
    <phoneticPr fontId="1"/>
  </si>
  <si>
    <t>当主に会う</t>
    <rPh sb="0" eb="2">
      <t>トウシュ</t>
    </rPh>
    <rPh sb="3" eb="4">
      <t>ア</t>
    </rPh>
    <phoneticPr fontId="1"/>
  </si>
  <si>
    <t>ラズべル消える</t>
    <rPh sb="4" eb="5">
      <t>キ</t>
    </rPh>
    <phoneticPr fontId="1"/>
  </si>
  <si>
    <t>訓練所消える１</t>
    <rPh sb="0" eb="2">
      <t>クンレン</t>
    </rPh>
    <rPh sb="2" eb="3">
      <t>ジョ</t>
    </rPh>
    <rPh sb="3" eb="4">
      <t>キ</t>
    </rPh>
    <phoneticPr fontId="1"/>
  </si>
  <si>
    <t>訓練所消える２</t>
    <rPh sb="0" eb="2">
      <t>クンレン</t>
    </rPh>
    <rPh sb="2" eb="3">
      <t>ジョ</t>
    </rPh>
    <rPh sb="3" eb="4">
      <t>キ</t>
    </rPh>
    <phoneticPr fontId="1"/>
  </si>
  <si>
    <t>訓練所消える３</t>
    <rPh sb="0" eb="2">
      <t>クンレン</t>
    </rPh>
    <rPh sb="2" eb="3">
      <t>ジョ</t>
    </rPh>
    <rPh sb="3" eb="4">
      <t>キ</t>
    </rPh>
    <phoneticPr fontId="1"/>
  </si>
  <si>
    <t>訓練所消える４</t>
    <rPh sb="0" eb="2">
      <t>クンレン</t>
    </rPh>
    <rPh sb="2" eb="3">
      <t>ジョ</t>
    </rPh>
    <rPh sb="3" eb="4">
      <t>キ</t>
    </rPh>
    <phoneticPr fontId="1"/>
  </si>
  <si>
    <t>デュナスに会う→デュラン</t>
    <rPh sb="5" eb="6">
      <t>ア</t>
    </rPh>
    <phoneticPr fontId="1"/>
  </si>
  <si>
    <t>デュランセリフ変更</t>
    <rPh sb="7" eb="9">
      <t>ヘンコウ</t>
    </rPh>
    <phoneticPr fontId="1"/>
  </si>
  <si>
    <t>怪盗消える</t>
    <rPh sb="0" eb="2">
      <t>カイトウ</t>
    </rPh>
    <rPh sb="2" eb="3">
      <t>キ</t>
    </rPh>
    <phoneticPr fontId="1"/>
  </si>
  <si>
    <t>勇者消える</t>
    <rPh sb="0" eb="2">
      <t>ユウシャ</t>
    </rPh>
    <rPh sb="2" eb="3">
      <t>キ</t>
    </rPh>
    <phoneticPr fontId="1"/>
  </si>
  <si>
    <t>聖戦士消える</t>
    <rPh sb="0" eb="2">
      <t>セイセン</t>
    </rPh>
    <rPh sb="2" eb="3">
      <t>シ</t>
    </rPh>
    <rPh sb="3" eb="4">
      <t>キ</t>
    </rPh>
    <phoneticPr fontId="1"/>
  </si>
  <si>
    <t>海賊消える</t>
    <rPh sb="0" eb="2">
      <t>カイゾク</t>
    </rPh>
    <rPh sb="2" eb="3">
      <t>キ</t>
    </rPh>
    <phoneticPr fontId="1"/>
  </si>
  <si>
    <t>集落門番消える</t>
    <rPh sb="0" eb="2">
      <t>シュウラク</t>
    </rPh>
    <rPh sb="2" eb="4">
      <t>モンバン</t>
    </rPh>
    <rPh sb="4" eb="5">
      <t>キ</t>
    </rPh>
    <phoneticPr fontId="1"/>
  </si>
  <si>
    <t>ドラゴンパピー倒す</t>
    <rPh sb="7" eb="8">
      <t>タオ</t>
    </rPh>
    <phoneticPr fontId="1"/>
  </si>
  <si>
    <t>Ｂ５開通イベント発生</t>
    <rPh sb="2" eb="4">
      <t>カイツウ</t>
    </rPh>
    <rPh sb="8" eb="10">
      <t>ハッセイ</t>
    </rPh>
    <phoneticPr fontId="1"/>
  </si>
  <si>
    <t>Ｂ５開通</t>
    <rPh sb="2" eb="4">
      <t>カイツウ</t>
    </rPh>
    <phoneticPr fontId="1"/>
  </si>
  <si>
    <t>Ｂ３～墓　ショートカット</t>
    <rPh sb="3" eb="4">
      <t>ハカ</t>
    </rPh>
    <phoneticPr fontId="1"/>
  </si>
  <si>
    <t>Ｂ３～墓　埋葬終了</t>
    <rPh sb="3" eb="4">
      <t>ハカ</t>
    </rPh>
    <rPh sb="5" eb="7">
      <t>マイソウ</t>
    </rPh>
    <rPh sb="7" eb="9">
      <t>シュウリョウ</t>
    </rPh>
    <phoneticPr fontId="1"/>
  </si>
  <si>
    <t>ツルハシ入手</t>
    <rPh sb="4" eb="6">
      <t>ニュウシュ</t>
    </rPh>
    <phoneticPr fontId="1"/>
  </si>
  <si>
    <t>不思議な箱入手</t>
    <rPh sb="0" eb="3">
      <t>フシギ</t>
    </rPh>
    <rPh sb="4" eb="5">
      <t>ハコ</t>
    </rPh>
    <rPh sb="5" eb="7">
      <t>ニュウシュ</t>
    </rPh>
    <phoneticPr fontId="1"/>
  </si>
  <si>
    <t>Ｂ６門番</t>
    <rPh sb="2" eb="4">
      <t>モンバン</t>
    </rPh>
    <phoneticPr fontId="1"/>
  </si>
  <si>
    <t>Ｂ３へ</t>
    <phoneticPr fontId="1"/>
  </si>
  <si>
    <t>ショートカット２スタート</t>
    <phoneticPr fontId="1"/>
  </si>
  <si>
    <t>ショートカット２完成</t>
    <rPh sb="8" eb="10">
      <t>カンセイ</t>
    </rPh>
    <phoneticPr fontId="1"/>
  </si>
  <si>
    <t>魔人像撃破</t>
    <rPh sb="0" eb="1">
      <t>マ</t>
    </rPh>
    <rPh sb="1" eb="2">
      <t>ジン</t>
    </rPh>
    <rPh sb="2" eb="3">
      <t>ゾウ</t>
    </rPh>
    <rPh sb="3" eb="5">
      <t>ゲキハ</t>
    </rPh>
    <phoneticPr fontId="1"/>
  </si>
  <si>
    <t>公民館へ</t>
    <rPh sb="0" eb="3">
      <t>コウミンカン</t>
    </rPh>
    <phoneticPr fontId="1"/>
  </si>
  <si>
    <t>公民館イベント終了</t>
    <rPh sb="0" eb="3">
      <t>コウミンカン</t>
    </rPh>
    <rPh sb="7" eb="9">
      <t>シュウリョウ</t>
    </rPh>
    <phoneticPr fontId="1"/>
  </si>
  <si>
    <t>疑惑フラグ</t>
    <rPh sb="0" eb="2">
      <t>ギワク</t>
    </rPh>
    <phoneticPr fontId="1"/>
  </si>
  <si>
    <t>リーダーと話す</t>
    <rPh sb="5" eb="6">
      <t>ハナ</t>
    </rPh>
    <phoneticPr fontId="1"/>
  </si>
  <si>
    <t>魔人像の核入手</t>
    <rPh sb="0" eb="1">
      <t>マ</t>
    </rPh>
    <rPh sb="1" eb="2">
      <t>ジン</t>
    </rPh>
    <rPh sb="2" eb="3">
      <t>ゾウ</t>
    </rPh>
    <rPh sb="4" eb="5">
      <t>カク</t>
    </rPh>
    <rPh sb="5" eb="7">
      <t>ニュウシュ</t>
    </rPh>
    <phoneticPr fontId="1"/>
  </si>
  <si>
    <t>埋葬済み</t>
    <rPh sb="0" eb="2">
      <t>マイソウ</t>
    </rPh>
    <rPh sb="2" eb="3">
      <t>ズ</t>
    </rPh>
    <phoneticPr fontId="1"/>
  </si>
  <si>
    <t>門番</t>
    <rPh sb="0" eb="2">
      <t>モンバン</t>
    </rPh>
    <phoneticPr fontId="1"/>
  </si>
  <si>
    <t>ショートカット３</t>
    <phoneticPr fontId="1"/>
  </si>
  <si>
    <t>墓地入口</t>
    <rPh sb="0" eb="2">
      <t>ボチ</t>
    </rPh>
    <rPh sb="2" eb="4">
      <t>イリグチ</t>
    </rPh>
    <phoneticPr fontId="1"/>
  </si>
  <si>
    <t>小人、神話</t>
    <rPh sb="0" eb="2">
      <t>コビト</t>
    </rPh>
    <rPh sb="3" eb="5">
      <t>シンワ</t>
    </rPh>
    <phoneticPr fontId="1"/>
  </si>
  <si>
    <t>ファイアフライ</t>
    <phoneticPr fontId="1"/>
  </si>
  <si>
    <t>アウタービースト</t>
    <phoneticPr fontId="1"/>
  </si>
  <si>
    <t>レッサーバンパイア</t>
    <phoneticPr fontId="1"/>
  </si>
  <si>
    <t>バンパイア</t>
    <phoneticPr fontId="1"/>
  </si>
  <si>
    <t>オリハルコンゴーレム</t>
    <phoneticPr fontId="1"/>
  </si>
  <si>
    <t>ゴブリン弩兵</t>
    <rPh sb="4" eb="5">
      <t>ド</t>
    </rPh>
    <rPh sb="5" eb="6">
      <t>ヘイ</t>
    </rPh>
    <phoneticPr fontId="1"/>
  </si>
  <si>
    <t>オーガ大型弩兵</t>
    <rPh sb="3" eb="5">
      <t>オオガタ</t>
    </rPh>
    <rPh sb="5" eb="6">
      <t>ド</t>
    </rPh>
    <rPh sb="6" eb="7">
      <t>ヘイ</t>
    </rPh>
    <phoneticPr fontId="1"/>
  </si>
  <si>
    <t>スティールゴーレム</t>
    <phoneticPr fontId="1"/>
  </si>
  <si>
    <t>タイタン巨大弩兵</t>
    <rPh sb="4" eb="6">
      <t>キョダイ</t>
    </rPh>
    <rPh sb="6" eb="7">
      <t>ド</t>
    </rPh>
    <rPh sb="7" eb="8">
      <t>ヘイ</t>
    </rPh>
    <phoneticPr fontId="1"/>
  </si>
  <si>
    <t>オーガリーダー</t>
    <phoneticPr fontId="1"/>
  </si>
  <si>
    <t>ドラゴン</t>
    <phoneticPr fontId="1"/>
  </si>
  <si>
    <t>ウィスプウィンド</t>
    <phoneticPr fontId="1"/>
  </si>
  <si>
    <t>旋風剣ヴェリシアル</t>
    <rPh sb="0" eb="2">
      <t>センプウ</t>
    </rPh>
    <rPh sb="2" eb="3">
      <t>ツルギ</t>
    </rPh>
    <phoneticPr fontId="1"/>
  </si>
  <si>
    <t>紫竜の聖衣</t>
    <rPh sb="0" eb="1">
      <t>ムラサキ</t>
    </rPh>
    <rPh sb="1" eb="2">
      <t>リュウ</t>
    </rPh>
    <rPh sb="3" eb="4">
      <t>ヒジリ</t>
    </rPh>
    <rPh sb="4" eb="5">
      <t>コロモ</t>
    </rPh>
    <phoneticPr fontId="1"/>
  </si>
  <si>
    <t>　聖者の香</t>
    <rPh sb="1" eb="3">
      <t>セイジャ</t>
    </rPh>
    <rPh sb="4" eb="5">
      <t>コウ</t>
    </rPh>
    <phoneticPr fontId="1"/>
  </si>
  <si>
    <t>　麻痺治療の薬</t>
    <rPh sb="1" eb="3">
      <t>マヒ</t>
    </rPh>
    <rPh sb="3" eb="5">
      <t>チリョウ</t>
    </rPh>
    <rPh sb="6" eb="7">
      <t>クスリ</t>
    </rPh>
    <phoneticPr fontId="1"/>
  </si>
  <si>
    <t>　帰還の宝珠</t>
    <rPh sb="1" eb="3">
      <t>キカン</t>
    </rPh>
    <rPh sb="4" eb="6">
      <t>ホウジュ</t>
    </rPh>
    <phoneticPr fontId="1"/>
  </si>
  <si>
    <t>指輪、護符</t>
    <rPh sb="0" eb="2">
      <t>ユビワ</t>
    </rPh>
    <rPh sb="3" eb="5">
      <t>ゴフ</t>
    </rPh>
    <phoneticPr fontId="1"/>
  </si>
  <si>
    <t>指輪</t>
    <rPh sb="0" eb="2">
      <t>ユビワ</t>
    </rPh>
    <phoneticPr fontId="1"/>
  </si>
  <si>
    <t>道具Ａ</t>
    <rPh sb="0" eb="2">
      <t>ドウグ</t>
    </rPh>
    <phoneticPr fontId="1"/>
  </si>
  <si>
    <t>*</t>
    <phoneticPr fontId="1"/>
  </si>
  <si>
    <t>ランク４（Ｂ５～）</t>
    <phoneticPr fontId="1"/>
  </si>
  <si>
    <t>ランク３（Ｂ３～）</t>
    <phoneticPr fontId="1"/>
  </si>
  <si>
    <t>ランク２（Ｂ１～）</t>
    <phoneticPr fontId="1"/>
  </si>
  <si>
    <t>ランク５（Ｂ７～）</t>
    <phoneticPr fontId="1"/>
  </si>
  <si>
    <t>武器Ｄ</t>
    <rPh sb="0" eb="2">
      <t>ブキ</t>
    </rPh>
    <phoneticPr fontId="1"/>
  </si>
  <si>
    <t>防具Ｄ</t>
    <rPh sb="0" eb="2">
      <t>ボウグ</t>
    </rPh>
    <phoneticPr fontId="1"/>
  </si>
  <si>
    <t>防具Ｃ</t>
    <rPh sb="0" eb="2">
      <t>ボウグ</t>
    </rPh>
    <phoneticPr fontId="1"/>
  </si>
  <si>
    <t>ランクＥ</t>
    <phoneticPr fontId="1"/>
  </si>
  <si>
    <t>　弱体の粉</t>
    <rPh sb="1" eb="3">
      <t>ジャクタイ</t>
    </rPh>
    <rPh sb="4" eb="5">
      <t>コナ</t>
    </rPh>
    <phoneticPr fontId="1"/>
  </si>
  <si>
    <t>　+道具Ｂ</t>
    <phoneticPr fontId="1"/>
  </si>
  <si>
    <t>　＋道具Ｃ</t>
    <rPh sb="2" eb="4">
      <t>ドウグ</t>
    </rPh>
    <phoneticPr fontId="1"/>
  </si>
  <si>
    <t>武器Ａ</t>
    <rPh sb="0" eb="2">
      <t>ブキ</t>
    </rPh>
    <phoneticPr fontId="1"/>
  </si>
  <si>
    <t>道具Ｂ</t>
    <rPh sb="0" eb="2">
      <t>ドウグ</t>
    </rPh>
    <phoneticPr fontId="1"/>
  </si>
  <si>
    <t>道具Ｃ</t>
    <rPh sb="0" eb="2">
      <t>ドウグ</t>
    </rPh>
    <phoneticPr fontId="1"/>
  </si>
  <si>
    <t>防具B</t>
    <rPh sb="0" eb="2">
      <t>ボウグ</t>
    </rPh>
    <phoneticPr fontId="1"/>
  </si>
  <si>
    <t>武器Ｃ</t>
    <rPh sb="0" eb="2">
      <t>ブキ</t>
    </rPh>
    <phoneticPr fontId="1"/>
  </si>
  <si>
    <t>6-12</t>
    <phoneticPr fontId="1"/>
  </si>
  <si>
    <t>13-19</t>
    <phoneticPr fontId="1"/>
  </si>
  <si>
    <t>20-26</t>
    <phoneticPr fontId="1"/>
  </si>
  <si>
    <t>27-33</t>
    <phoneticPr fontId="1"/>
  </si>
  <si>
    <t>53-58,79-80,89-90,99-100</t>
    <phoneticPr fontId="1"/>
  </si>
  <si>
    <t>59-64,81-82,91-92,101-102</t>
    <phoneticPr fontId="1"/>
  </si>
  <si>
    <t>65-70,83-84,93-94,103-104</t>
    <phoneticPr fontId="1"/>
  </si>
  <si>
    <t>71-76,85-86,95-96,105-106</t>
    <phoneticPr fontId="1"/>
  </si>
  <si>
    <t>111-119,123-130</t>
    <phoneticPr fontId="1"/>
  </si>
  <si>
    <t>43-48,107-110,141,148</t>
    <phoneticPr fontId="1"/>
  </si>
  <si>
    <t>133-140,142-147</t>
    <phoneticPr fontId="1"/>
  </si>
  <si>
    <t>111-131</t>
    <phoneticPr fontId="1"/>
  </si>
  <si>
    <t>34-41</t>
    <phoneticPr fontId="1"/>
  </si>
  <si>
    <t>*2</t>
    <phoneticPr fontId="1"/>
  </si>
  <si>
    <t>*2</t>
    <phoneticPr fontId="1"/>
  </si>
  <si>
    <t>再生、魔法5</t>
    <rPh sb="0" eb="2">
      <t>サイセイ</t>
    </rPh>
    <rPh sb="3" eb="5">
      <t>マホウ</t>
    </rPh>
    <phoneticPr fontId="1"/>
  </si>
  <si>
    <t>再生、魔法55</t>
    <rPh sb="0" eb="2">
      <t>サイセイ</t>
    </rPh>
    <rPh sb="3" eb="5">
      <t>マホウ</t>
    </rPh>
    <phoneticPr fontId="1"/>
  </si>
  <si>
    <t>再生、魔法66</t>
    <rPh sb="0" eb="2">
      <t>サイセイ</t>
    </rPh>
    <rPh sb="3" eb="5">
      <t>マホウ</t>
    </rPh>
    <phoneticPr fontId="1"/>
  </si>
  <si>
    <t>　自動回復</t>
    <rPh sb="1" eb="3">
      <t>ジドウ</t>
    </rPh>
    <rPh sb="3" eb="5">
      <t>カイフク</t>
    </rPh>
    <phoneticPr fontId="1"/>
  </si>
  <si>
    <t>　命中悪/攻撃回数１</t>
    <rPh sb="1" eb="3">
      <t>メイチュウ</t>
    </rPh>
    <rPh sb="3" eb="4">
      <t>ワル</t>
    </rPh>
    <rPh sb="5" eb="7">
      <t>コウゲキ</t>
    </rPh>
    <rPh sb="7" eb="9">
      <t>カイスウ</t>
    </rPh>
    <phoneticPr fontId="1"/>
  </si>
  <si>
    <t>　長射程/持続ダメージ</t>
    <rPh sb="1" eb="2">
      <t>ナガ</t>
    </rPh>
    <rPh sb="2" eb="4">
      <t>シャテイ</t>
    </rPh>
    <rPh sb="5" eb="7">
      <t>ジゾク</t>
    </rPh>
    <phoneticPr fontId="1"/>
  </si>
  <si>
    <t>　攻撃対象数３</t>
    <rPh sb="1" eb="3">
      <t>コウゲキ</t>
    </rPh>
    <rPh sb="3" eb="5">
      <t>タイショウ</t>
    </rPh>
    <rPh sb="5" eb="6">
      <t>スウ</t>
    </rPh>
    <phoneticPr fontId="1"/>
  </si>
  <si>
    <t>ブレス、毒、再生</t>
    <rPh sb="4" eb="5">
      <t>ドク</t>
    </rPh>
    <rPh sb="6" eb="8">
      <t>サイセイ</t>
    </rPh>
    <phoneticPr fontId="1"/>
  </si>
  <si>
    <t>基本成功率</t>
    <rPh sb="0" eb="2">
      <t>キホン</t>
    </rPh>
    <rPh sb="2" eb="5">
      <t>セイコウリツ</t>
    </rPh>
    <phoneticPr fontId="1"/>
  </si>
  <si>
    <t>状態異常</t>
    <rPh sb="0" eb="2">
      <t>ジョウタイ</t>
    </rPh>
    <rPh sb="2" eb="4">
      <t>イジョウ</t>
    </rPh>
    <phoneticPr fontId="1"/>
  </si>
  <si>
    <t>ダメージ</t>
    <phoneticPr fontId="1"/>
  </si>
  <si>
    <t>状態異常ブレス</t>
    <rPh sb="0" eb="2">
      <t>ジョウタイ</t>
    </rPh>
    <rPh sb="2" eb="4">
      <t>イジョウ</t>
    </rPh>
    <phoneticPr fontId="1"/>
  </si>
  <si>
    <t>眠り、不死、再生</t>
    <rPh sb="0" eb="1">
      <t>ネム</t>
    </rPh>
    <rPh sb="3" eb="5">
      <t>フシ</t>
    </rPh>
    <rPh sb="6" eb="8">
      <t>サイセイ</t>
    </rPh>
    <phoneticPr fontId="1"/>
  </si>
  <si>
    <t>ブレス、竜の咆哮</t>
    <rPh sb="4" eb="5">
      <t>リュウ</t>
    </rPh>
    <rPh sb="6" eb="8">
      <t>ホウコウ</t>
    </rPh>
    <phoneticPr fontId="1"/>
  </si>
  <si>
    <t>パミミック１</t>
    <phoneticPr fontId="1"/>
  </si>
  <si>
    <t>パミミック２</t>
    <phoneticPr fontId="1"/>
  </si>
  <si>
    <t>パミミック３（シシ肉サンド渡す）</t>
    <rPh sb="9" eb="10">
      <t>ニク</t>
    </rPh>
    <rPh sb="13" eb="14">
      <t>ワタ</t>
    </rPh>
    <phoneticPr fontId="1"/>
  </si>
  <si>
    <t>パミミック（食事会）</t>
    <rPh sb="6" eb="8">
      <t>ショクジ</t>
    </rPh>
    <rPh sb="8" eb="9">
      <t>カイ</t>
    </rPh>
    <phoneticPr fontId="1"/>
  </si>
  <si>
    <t>妖精の輪（１階）</t>
    <rPh sb="0" eb="2">
      <t>ヨウセイ</t>
    </rPh>
    <rPh sb="3" eb="4">
      <t>ワ</t>
    </rPh>
    <rPh sb="6" eb="7">
      <t>カイ</t>
    </rPh>
    <phoneticPr fontId="1"/>
  </si>
  <si>
    <t>パミミック（妖精の輪）</t>
    <rPh sb="6" eb="8">
      <t>ヨウセイ</t>
    </rPh>
    <rPh sb="9" eb="10">
      <t>ワ</t>
    </rPh>
    <phoneticPr fontId="1"/>
  </si>
  <si>
    <t>パミミック（馬小屋）</t>
    <rPh sb="6" eb="7">
      <t>ウマ</t>
    </rPh>
    <rPh sb="7" eb="9">
      <t>ゴヤ</t>
    </rPh>
    <phoneticPr fontId="1"/>
  </si>
  <si>
    <t>リザードシャーマン</t>
    <phoneticPr fontId="1"/>
  </si>
  <si>
    <t>後列、ブレス</t>
    <rPh sb="0" eb="2">
      <t>コウレツ</t>
    </rPh>
    <phoneticPr fontId="1"/>
  </si>
  <si>
    <t>謁見（初回）</t>
    <rPh sb="0" eb="2">
      <t>エッケン</t>
    </rPh>
    <rPh sb="3" eb="5">
      <t>ショカイ</t>
    </rPh>
    <phoneticPr fontId="1"/>
  </si>
  <si>
    <t>特殊効果の説明書</t>
    <rPh sb="0" eb="2">
      <t>トクシュ</t>
    </rPh>
    <rPh sb="2" eb="4">
      <t>コウカ</t>
    </rPh>
    <rPh sb="5" eb="8">
      <t>セツメイショ</t>
    </rPh>
    <phoneticPr fontId="1"/>
  </si>
  <si>
    <t>領主に討伐報告</t>
    <rPh sb="0" eb="2">
      <t>リョウシュ</t>
    </rPh>
    <rPh sb="3" eb="5">
      <t>トウバツ</t>
    </rPh>
    <rPh sb="5" eb="7">
      <t>ホウコク</t>
    </rPh>
    <phoneticPr fontId="1"/>
  </si>
  <si>
    <t>防具Ｂ</t>
    <rPh sb="0" eb="2">
      <t>ボウグ</t>
    </rPh>
    <phoneticPr fontId="1"/>
  </si>
  <si>
    <t>防具Ｃ</t>
    <rPh sb="0" eb="2">
      <t>ボウグ</t>
    </rPh>
    <phoneticPr fontId="1"/>
  </si>
  <si>
    <t>一角獣の槍</t>
    <rPh sb="0" eb="3">
      <t>イッカクジュウ</t>
    </rPh>
    <rPh sb="4" eb="5">
      <t>ソウ</t>
    </rPh>
    <phoneticPr fontId="1"/>
  </si>
  <si>
    <t>デーモンセージ</t>
    <phoneticPr fontId="1"/>
  </si>
  <si>
    <t>デーモンガード</t>
    <phoneticPr fontId="1"/>
  </si>
  <si>
    <t>42-48,107-110,141,148</t>
    <phoneticPr fontId="1"/>
  </si>
  <si>
    <t>魔法65</t>
    <rPh sb="0" eb="2">
      <t>マホウ</t>
    </rPh>
    <phoneticPr fontId="1"/>
  </si>
  <si>
    <t>再生、ブレス</t>
    <rPh sb="0" eb="2">
      <t>サイセイ</t>
    </rPh>
    <phoneticPr fontId="1"/>
  </si>
  <si>
    <t>再生、石化、解除</t>
    <rPh sb="0" eb="2">
      <t>サイセイ</t>
    </rPh>
    <rPh sb="3" eb="5">
      <t>セッカ</t>
    </rPh>
    <rPh sb="6" eb="8">
      <t>カイジョ</t>
    </rPh>
    <phoneticPr fontId="1"/>
  </si>
  <si>
    <t>ブレス、毒、マヒ、眠り、再生、解除</t>
    <rPh sb="4" eb="5">
      <t>ドク</t>
    </rPh>
    <rPh sb="9" eb="10">
      <t>ネム</t>
    </rPh>
    <rPh sb="12" eb="14">
      <t>サイセイ</t>
    </rPh>
    <rPh sb="15" eb="17">
      <t>カイジョ</t>
    </rPh>
    <phoneticPr fontId="1"/>
  </si>
  <si>
    <t>魔法６６、再生、睡眠</t>
    <rPh sb="0" eb="2">
      <t>マホウ</t>
    </rPh>
    <rPh sb="5" eb="7">
      <t>サイセイ</t>
    </rPh>
    <rPh sb="8" eb="10">
      <t>スイミン</t>
    </rPh>
    <phoneticPr fontId="1"/>
  </si>
  <si>
    <t>毒、毒の息</t>
    <rPh sb="0" eb="1">
      <t>ドク</t>
    </rPh>
    <rPh sb="2" eb="3">
      <t>ドク</t>
    </rPh>
    <rPh sb="4" eb="5">
      <t>イキ</t>
    </rPh>
    <phoneticPr fontId="1"/>
  </si>
  <si>
    <t>後列、毒</t>
    <rPh sb="0" eb="2">
      <t>コウレツ</t>
    </rPh>
    <rPh sb="3" eb="4">
      <t>ドク</t>
    </rPh>
    <phoneticPr fontId="1"/>
  </si>
  <si>
    <t>不死、眠り、魔法６、再生</t>
    <rPh sb="0" eb="2">
      <t>フシ</t>
    </rPh>
    <rPh sb="3" eb="4">
      <t>ネム</t>
    </rPh>
    <rPh sb="6" eb="8">
      <t>マホウ</t>
    </rPh>
    <rPh sb="10" eb="12">
      <t>サイセイ</t>
    </rPh>
    <phoneticPr fontId="1"/>
  </si>
  <si>
    <t>　（炎の巻物）</t>
    <rPh sb="2" eb="3">
      <t>ホノオ</t>
    </rPh>
    <rPh sb="4" eb="6">
      <t>マキモノ</t>
    </rPh>
    <phoneticPr fontId="1"/>
  </si>
  <si>
    <t>　（氷の巻物）</t>
    <rPh sb="2" eb="3">
      <t>コオリ</t>
    </rPh>
    <rPh sb="4" eb="6">
      <t>マキモノ</t>
    </rPh>
    <phoneticPr fontId="1"/>
  </si>
  <si>
    <t>　氷の巻物</t>
    <rPh sb="1" eb="2">
      <t>コオリ</t>
    </rPh>
    <rPh sb="3" eb="5">
      <t>マキモノ</t>
    </rPh>
    <phoneticPr fontId="1"/>
  </si>
  <si>
    <t>　炎の巻物</t>
    <rPh sb="1" eb="2">
      <t>ホノオ</t>
    </rPh>
    <rPh sb="3" eb="5">
      <t>マキモノ</t>
    </rPh>
    <phoneticPr fontId="1"/>
  </si>
  <si>
    <t>味方最速</t>
    <rPh sb="0" eb="2">
      <t>ミカタ</t>
    </rPh>
    <rPh sb="2" eb="4">
      <t>サイソク</t>
    </rPh>
    <phoneticPr fontId="1"/>
  </si>
  <si>
    <t>敵最速</t>
    <rPh sb="0" eb="1">
      <t>テキ</t>
    </rPh>
    <rPh sb="1" eb="3">
      <t>サイソク</t>
    </rPh>
    <phoneticPr fontId="1"/>
  </si>
  <si>
    <t>*2</t>
    <phoneticPr fontId="1"/>
  </si>
  <si>
    <t>武器Ｓ</t>
    <rPh sb="0" eb="2">
      <t>ブキ</t>
    </rPh>
    <phoneticPr fontId="1"/>
  </si>
  <si>
    <t>ランクＤ</t>
    <phoneticPr fontId="1"/>
  </si>
  <si>
    <t>ランクＣ</t>
    <phoneticPr fontId="1"/>
  </si>
  <si>
    <t>ランクＢ</t>
    <phoneticPr fontId="1"/>
  </si>
  <si>
    <t>ランクＡ</t>
    <phoneticPr fontId="1"/>
  </si>
  <si>
    <t>ランクＳ</t>
    <phoneticPr fontId="1"/>
  </si>
  <si>
    <t>≪民族≫</t>
    <rPh sb="1" eb="3">
      <t>ミンゾク</t>
    </rPh>
    <phoneticPr fontId="1"/>
  </si>
  <si>
    <t>≪特殊計算式≫</t>
    <rPh sb="1" eb="3">
      <t>トクシュ</t>
    </rPh>
    <rPh sb="3" eb="6">
      <t>ケイサンシキ</t>
    </rPh>
    <phoneticPr fontId="1"/>
  </si>
  <si>
    <t>≪行動順序決定値≫</t>
    <rPh sb="1" eb="3">
      <t>コウドウ</t>
    </rPh>
    <rPh sb="3" eb="5">
      <t>ジュンジョ</t>
    </rPh>
    <rPh sb="5" eb="7">
      <t>ケッテイ</t>
    </rPh>
    <rPh sb="7" eb="8">
      <t>チ</t>
    </rPh>
    <phoneticPr fontId="1"/>
  </si>
  <si>
    <t>敏捷×１０＋レベル</t>
    <rPh sb="0" eb="2">
      <t>ビンショウ</t>
    </rPh>
    <phoneticPr fontId="1"/>
  </si>
  <si>
    <t>計算結果</t>
    <rPh sb="0" eb="2">
      <t>ケイサン</t>
    </rPh>
    <rPh sb="2" eb="4">
      <t>ケッカ</t>
    </rPh>
    <phoneticPr fontId="1"/>
  </si>
  <si>
    <t>制作時に使っていたメモ書きです。実際のゲームデータとはかなり違いますので、見ても役に立ちません。</t>
    <rPh sb="0" eb="2">
      <t>セイサク</t>
    </rPh>
    <rPh sb="2" eb="3">
      <t>ジ</t>
    </rPh>
    <rPh sb="4" eb="5">
      <t>ツカ</t>
    </rPh>
    <rPh sb="11" eb="12">
      <t>ガ</t>
    </rPh>
    <rPh sb="16" eb="18">
      <t>ジッサイ</t>
    </rPh>
    <rPh sb="30" eb="31">
      <t>チガ</t>
    </rPh>
    <rPh sb="37" eb="38">
      <t>ミ</t>
    </rPh>
    <rPh sb="40" eb="41">
      <t>ヤク</t>
    </rPh>
    <rPh sb="42" eb="43">
      <t>タ</t>
    </rPh>
    <phoneticPr fontId="1"/>
  </si>
  <si>
    <t>聖獣の盾</t>
    <rPh sb="0" eb="2">
      <t>セイジュウ</t>
    </rPh>
    <rPh sb="3" eb="4">
      <t>タテ</t>
    </rPh>
    <phoneticPr fontId="1"/>
  </si>
  <si>
    <t>天使の帽子</t>
    <rPh sb="0" eb="2">
      <t>テンシ</t>
    </rPh>
    <rPh sb="3" eb="5">
      <t>ボウシ</t>
    </rPh>
    <phoneticPr fontId="1"/>
  </si>
  <si>
    <t>霊鳥の靴</t>
    <rPh sb="0" eb="1">
      <t>レイ</t>
    </rPh>
    <rPh sb="1" eb="2">
      <t>トリ</t>
    </rPh>
    <rPh sb="3" eb="4">
      <t>クツ</t>
    </rPh>
    <phoneticPr fontId="1"/>
  </si>
  <si>
    <t>竜爪の装甲靴</t>
    <rPh sb="0" eb="1">
      <t>リュウ</t>
    </rPh>
    <rPh sb="1" eb="2">
      <t>ツメ</t>
    </rPh>
    <rPh sb="3" eb="5">
      <t>ソウコウ</t>
    </rPh>
    <rPh sb="5" eb="6">
      <t>グツ</t>
    </rPh>
    <phoneticPr fontId="1"/>
  </si>
  <si>
    <t>カテゴリ名</t>
    <rPh sb="4" eb="5">
      <t>メイ</t>
    </rPh>
    <phoneticPr fontId="1"/>
  </si>
  <si>
    <t>備考</t>
    <rPh sb="0" eb="2">
      <t>ビコウ</t>
    </rPh>
    <phoneticPr fontId="1"/>
  </si>
  <si>
    <t>　この計算では、レベルは４０を上限としています。</t>
    <rPh sb="3" eb="5">
      <t>ケイサン</t>
    </rPh>
    <rPh sb="15" eb="17">
      <t>ジョウゲン</t>
    </rPh>
    <phoneticPr fontId="1"/>
  </si>
  <si>
    <t>　宝箱から入手可能なアイテムを、入手頻度別に分けたものです。</t>
    <rPh sb="1" eb="3">
      <t>タカラバコ</t>
    </rPh>
    <rPh sb="5" eb="7">
      <t>ニュウシュ</t>
    </rPh>
    <rPh sb="7" eb="9">
      <t>カノウ</t>
    </rPh>
    <rPh sb="16" eb="18">
      <t>ニュウシュ</t>
    </rPh>
    <rPh sb="18" eb="20">
      <t>ヒンド</t>
    </rPh>
    <rPh sb="20" eb="21">
      <t>ベツ</t>
    </rPh>
    <rPh sb="22" eb="23">
      <t>ワ</t>
    </rPh>
    <phoneticPr fontId="1"/>
  </si>
  <si>
    <t>＊</t>
    <phoneticPr fontId="1"/>
  </si>
  <si>
    <t>＊２</t>
    <phoneticPr fontId="1"/>
  </si>
  <si>
    <t>　カテゴリ名は、ゲーム内の説明文に書かれているランクです。</t>
    <rPh sb="5" eb="6">
      <t>メイ</t>
    </rPh>
    <rPh sb="11" eb="12">
      <t>ナイ</t>
    </rPh>
    <rPh sb="13" eb="16">
      <t>セツメイブン</t>
    </rPh>
    <rPh sb="17" eb="18">
      <t>カ</t>
    </rPh>
    <phoneticPr fontId="1"/>
  </si>
  <si>
    <t>　ランク＊装備のうち海神の三又鉾だけは、入手可能になる時期</t>
    <rPh sb="5" eb="7">
      <t>ソウビ</t>
    </rPh>
    <rPh sb="10" eb="12">
      <t>カイジン</t>
    </rPh>
    <rPh sb="13" eb="15">
      <t>ミツマタ</t>
    </rPh>
    <rPh sb="15" eb="16">
      <t>ホコ</t>
    </rPh>
    <rPh sb="20" eb="22">
      <t>ニュウシュ</t>
    </rPh>
    <rPh sb="22" eb="24">
      <t>カノウ</t>
    </rPh>
    <rPh sb="27" eb="29">
      <t>ジキ</t>
    </rPh>
    <phoneticPr fontId="1"/>
  </si>
  <si>
    <t>　アイテムというのは、それぞれのランクでどんなものが手に入るかを表したものです。指輪は護符を含みますが、最高の指輪と至高の護符は＊扱いになっています。</t>
    <rPh sb="26" eb="27">
      <t>テ</t>
    </rPh>
    <rPh sb="28" eb="29">
      <t>ハイ</t>
    </rPh>
    <rPh sb="32" eb="33">
      <t>アラワ</t>
    </rPh>
    <rPh sb="40" eb="42">
      <t>ユビワ</t>
    </rPh>
    <rPh sb="43" eb="45">
      <t>ゴフ</t>
    </rPh>
    <rPh sb="46" eb="47">
      <t>フク</t>
    </rPh>
    <rPh sb="52" eb="54">
      <t>サイコウ</t>
    </rPh>
    <rPh sb="55" eb="57">
      <t>ユビワ</t>
    </rPh>
    <rPh sb="58" eb="60">
      <t>シコウ</t>
    </rPh>
    <rPh sb="61" eb="63">
      <t>ゴフ</t>
    </rPh>
    <rPh sb="65" eb="66">
      <t>アツカ</t>
    </rPh>
    <phoneticPr fontId="1"/>
  </si>
  <si>
    <t>メモ</t>
    <phoneticPr fontId="1"/>
  </si>
  <si>
    <t>　眠りの砂</t>
    <rPh sb="1" eb="2">
      <t>ネム</t>
    </rPh>
    <rPh sb="4" eb="5">
      <t>スナ</t>
    </rPh>
    <phoneticPr fontId="1"/>
  </si>
  <si>
    <t>　沈黙の粉</t>
    <rPh sb="1" eb="3">
      <t>チンモク</t>
    </rPh>
    <rPh sb="4" eb="5">
      <t>コナ</t>
    </rPh>
    <phoneticPr fontId="1"/>
  </si>
  <si>
    <t>　聖光の巻物</t>
    <rPh sb="1" eb="2">
      <t>セイ</t>
    </rPh>
    <rPh sb="2" eb="3">
      <t>ヒカリ</t>
    </rPh>
    <rPh sb="4" eb="6">
      <t>マキモノ</t>
    </rPh>
    <phoneticPr fontId="1"/>
  </si>
  <si>
    <t>道具Ｃは初期在庫無限品＋炎の巻物＋氷の巻物のつもりだったんですが、</t>
    <rPh sb="0" eb="2">
      <t>ドウグ</t>
    </rPh>
    <rPh sb="4" eb="6">
      <t>ショキ</t>
    </rPh>
    <rPh sb="6" eb="8">
      <t>ザイコ</t>
    </rPh>
    <rPh sb="8" eb="10">
      <t>ムゲン</t>
    </rPh>
    <rPh sb="10" eb="11">
      <t>ヒン</t>
    </rPh>
    <rPh sb="12" eb="13">
      <t>ホノオ</t>
    </rPh>
    <rPh sb="14" eb="16">
      <t>マキモノ</t>
    </rPh>
    <rPh sb="17" eb="18">
      <t>コオリ</t>
    </rPh>
    <rPh sb="19" eb="21">
      <t>マキモノ</t>
    </rPh>
    <phoneticPr fontId="1"/>
  </si>
  <si>
    <t>普通のやり方では３パターンまでしか登録できないということでもあります。そのため孤島の牢獄・改では、次のようにしています。</t>
    <rPh sb="39" eb="41">
      <t>コトウ</t>
    </rPh>
    <rPh sb="42" eb="44">
      <t>ロウゴク</t>
    </rPh>
    <rPh sb="45" eb="46">
      <t>カイ</t>
    </rPh>
    <rPh sb="49" eb="50">
      <t>ツギ</t>
    </rPh>
    <phoneticPr fontId="1"/>
  </si>
  <si>
    <t>20-26,20-26,20-26,20-26,20-26,65-70,83-84,93-94,103-104,65-70,83-84,93-94,103-104,65-70,83-84,93-94,103-104,65-70,83-84,93-94,103-104,65-70,83-84,93-94,103-104,65-70,83-84,93-94,103-104,43-48,107-110,141,148,43-48,107-110,141,148,43-48,107-110,141,148,43-48,107-110,141,148,43-48,107-110,141,148,43-48,107-110,141,148</t>
    <phoneticPr fontId="1"/>
  </si>
  <si>
    <t>　ちなみにこの部分の実際の入力データはこれです→</t>
    <rPh sb="7" eb="9">
      <t>ブブン</t>
    </rPh>
    <rPh sb="10" eb="12">
      <t>ジッサイ</t>
    </rPh>
    <rPh sb="13" eb="15">
      <t>ニュウリョク</t>
    </rPh>
    <phoneticPr fontId="1"/>
  </si>
  <si>
    <t>予定の確率</t>
    <rPh sb="0" eb="2">
      <t>ヨテイ</t>
    </rPh>
    <rPh sb="3" eb="5">
      <t>カクリツ</t>
    </rPh>
    <phoneticPr fontId="1"/>
  </si>
  <si>
    <t>武器Ｂ</t>
    <rPh sb="0" eb="2">
      <t>ブキ</t>
    </rPh>
    <phoneticPr fontId="1"/>
  </si>
  <si>
    <t>防具Ｂ</t>
    <rPh sb="0" eb="2">
      <t>ボウグ</t>
    </rPh>
    <phoneticPr fontId="1"/>
  </si>
  <si>
    <t>実際の確率</t>
    <rPh sb="0" eb="2">
      <t>ジッサイ</t>
    </rPh>
    <rPh sb="3" eb="5">
      <t>カクリツ</t>
    </rPh>
    <phoneticPr fontId="1"/>
  </si>
  <si>
    <t>＊</t>
    <phoneticPr fontId="1"/>
  </si>
  <si>
    <t>　また炎の巻物と氷の巻物は、やっぱりミスで初め道具Ｂ扱いにしており、後になってから</t>
    <rPh sb="3" eb="4">
      <t>ホノオ</t>
    </rPh>
    <rPh sb="5" eb="7">
      <t>マキモノ</t>
    </rPh>
    <rPh sb="8" eb="9">
      <t>コオリ</t>
    </rPh>
    <rPh sb="10" eb="12">
      <t>マキモノ</t>
    </rPh>
    <rPh sb="21" eb="22">
      <t>ハジ</t>
    </rPh>
    <rPh sb="23" eb="25">
      <t>ドウグ</t>
    </rPh>
    <rPh sb="26" eb="27">
      <t>アツカ</t>
    </rPh>
    <rPh sb="34" eb="35">
      <t>アト</t>
    </rPh>
    <phoneticPr fontId="1"/>
  </si>
  <si>
    <t>道具Ｂ以上の入手ができない宝箱のみ道具Ｃからも入手できるように修正しています。</t>
    <rPh sb="0" eb="2">
      <t>ドウグ</t>
    </rPh>
    <rPh sb="3" eb="5">
      <t>イジョウ</t>
    </rPh>
    <rPh sb="6" eb="8">
      <t>ニュウシュ</t>
    </rPh>
    <rPh sb="13" eb="15">
      <t>タカラバコ</t>
    </rPh>
    <rPh sb="17" eb="19">
      <t>ドウグ</t>
    </rPh>
    <rPh sb="23" eb="25">
      <t>ニュウシュ</t>
    </rPh>
    <rPh sb="31" eb="33">
      <t>シュウセイ</t>
    </rPh>
    <phoneticPr fontId="1"/>
  </si>
  <si>
    <t>112-114,117-118,123(111,125-126)</t>
    <phoneticPr fontId="1"/>
  </si>
  <si>
    <t>　さらにミスで、道具Ｃの中に照明玉が入ったり入っていなかったりします。</t>
    <rPh sb="8" eb="10">
      <t>ドウグ</t>
    </rPh>
    <rPh sb="12" eb="13">
      <t>ナカ</t>
    </rPh>
    <rPh sb="14" eb="16">
      <t>ショウメイ</t>
    </rPh>
    <rPh sb="16" eb="17">
      <t>ギョク</t>
    </rPh>
    <rPh sb="18" eb="19">
      <t>ハイ</t>
    </rPh>
    <rPh sb="22" eb="23">
      <t>ハイ</t>
    </rPh>
    <phoneticPr fontId="1"/>
  </si>
  <si>
    <t>6(8)(9)</t>
    <phoneticPr fontId="1"/>
  </si>
  <si>
    <t>予定確率</t>
    <rPh sb="0" eb="2">
      <t>ヨテイ</t>
    </rPh>
    <rPh sb="2" eb="4">
      <t>カクリツ</t>
    </rPh>
    <phoneticPr fontId="1"/>
  </si>
  <si>
    <t>　ただしこの確率は、その確率にしたいというだけであり、これから説明するやり方の都合により、実際のゲームでは少し違っている場合がほとんどです。</t>
    <rPh sb="6" eb="8">
      <t>カクリツ</t>
    </rPh>
    <rPh sb="12" eb="14">
      <t>カクリツ</t>
    </rPh>
    <rPh sb="31" eb="33">
      <t>セツメイ</t>
    </rPh>
    <rPh sb="37" eb="38">
      <t>カタ</t>
    </rPh>
    <rPh sb="39" eb="41">
      <t>ツゴウ</t>
    </rPh>
    <rPh sb="45" eb="47">
      <t>ジッサイ</t>
    </rPh>
    <rPh sb="53" eb="54">
      <t>スコ</t>
    </rPh>
    <rPh sb="55" eb="56">
      <t>チガ</t>
    </rPh>
    <rPh sb="60" eb="62">
      <t>バアイ</t>
    </rPh>
    <phoneticPr fontId="1"/>
  </si>
  <si>
    <t>　予定確率というのは、それぞれのアイテム群が手に入る確率です。武器Ｃが２３ならば、２３％の確率で武器Ｃのどれかが手に入るということです。</t>
    <rPh sb="1" eb="3">
      <t>ヨテイ</t>
    </rPh>
    <rPh sb="3" eb="5">
      <t>カクリツ</t>
    </rPh>
    <rPh sb="20" eb="21">
      <t>グン</t>
    </rPh>
    <rPh sb="22" eb="23">
      <t>テ</t>
    </rPh>
    <rPh sb="24" eb="25">
      <t>ハイ</t>
    </rPh>
    <rPh sb="26" eb="28">
      <t>カクリツ</t>
    </rPh>
    <rPh sb="31" eb="33">
      <t>ブキ</t>
    </rPh>
    <rPh sb="45" eb="47">
      <t>カクリツ</t>
    </rPh>
    <rPh sb="48" eb="50">
      <t>ブキ</t>
    </rPh>
    <rPh sb="56" eb="57">
      <t>テ</t>
    </rPh>
    <rPh sb="58" eb="59">
      <t>ハイ</t>
    </rPh>
    <phoneticPr fontId="1"/>
  </si>
  <si>
    <t>　Javardryでは１つの宝箱からアイテムを３つまで入手できるため、宝箱ごとにアイテムの入手パターンを３つまで設定できます。しかし逆に言えば、</t>
    <rPh sb="14" eb="16">
      <t>タカラバコ</t>
    </rPh>
    <rPh sb="27" eb="29">
      <t>ニュウシュ</t>
    </rPh>
    <rPh sb="35" eb="37">
      <t>タカラバコ</t>
    </rPh>
    <rPh sb="45" eb="47">
      <t>ニュウシュ</t>
    </rPh>
    <rPh sb="56" eb="58">
      <t>セッテイ</t>
    </rPh>
    <rPh sb="66" eb="67">
      <t>ギャク</t>
    </rPh>
    <rPh sb="68" eb="69">
      <t>イ</t>
    </rPh>
    <phoneticPr fontId="1"/>
  </si>
  <si>
    <t>　　　例）宝箱ランク６の場合（すぐ下の表は、もう少し下にある実際の表から該当部分を抜き出したもの）</t>
    <rPh sb="3" eb="4">
      <t>レイ</t>
    </rPh>
    <rPh sb="5" eb="7">
      <t>タカラバコ</t>
    </rPh>
    <rPh sb="12" eb="14">
      <t>バアイ</t>
    </rPh>
    <rPh sb="17" eb="18">
      <t>シタ</t>
    </rPh>
    <rPh sb="19" eb="20">
      <t>ヒョウ</t>
    </rPh>
    <rPh sb="24" eb="25">
      <t>スコ</t>
    </rPh>
    <rPh sb="26" eb="27">
      <t>シタ</t>
    </rPh>
    <rPh sb="30" eb="32">
      <t>ジッサイ</t>
    </rPh>
    <rPh sb="33" eb="34">
      <t>ヒョウ</t>
    </rPh>
    <rPh sb="36" eb="38">
      <t>ガイトウ</t>
    </rPh>
    <rPh sb="38" eb="40">
      <t>ブブン</t>
    </rPh>
    <rPh sb="41" eb="42">
      <t>ヌ</t>
    </rPh>
    <rPh sb="43" eb="44">
      <t>ダ</t>
    </rPh>
    <phoneticPr fontId="1"/>
  </si>
  <si>
    <t>そのアイテム群の数</t>
    <rPh sb="6" eb="7">
      <t>グン</t>
    </rPh>
    <rPh sb="8" eb="9">
      <t>カズ</t>
    </rPh>
    <phoneticPr fontId="1"/>
  </si>
  <si>
    <t>　そのため宝箱のランクによって、道具Ｃに含まれるアイテムの数が異なります。</t>
    <rPh sb="5" eb="7">
      <t>タカラバコ</t>
    </rPh>
    <rPh sb="16" eb="18">
      <t>ドウグ</t>
    </rPh>
    <rPh sb="20" eb="21">
      <t>フク</t>
    </rPh>
    <rPh sb="29" eb="30">
      <t>カズ</t>
    </rPh>
    <rPh sb="31" eb="32">
      <t>コト</t>
    </rPh>
    <phoneticPr fontId="1"/>
  </si>
  <si>
    <t>　　　宝箱ランク６はアイテム群が８つもあるため、無理やり３つにまとめます。</t>
    <rPh sb="3" eb="5">
      <t>タカラバコ</t>
    </rPh>
    <rPh sb="14" eb="15">
      <t>グン</t>
    </rPh>
    <rPh sb="24" eb="26">
      <t>ムリ</t>
    </rPh>
    <phoneticPr fontId="1"/>
  </si>
  <si>
    <t>　このページには、「表１（左）」「表２（右上）」「表３（右下）」の３つの表があります。右上の表２は右下の表３を作成するためのメモで、</t>
    <rPh sb="10" eb="11">
      <t>ヒョウ</t>
    </rPh>
    <rPh sb="13" eb="14">
      <t>ヒダリ</t>
    </rPh>
    <rPh sb="17" eb="18">
      <t>ヒョウ</t>
    </rPh>
    <rPh sb="20" eb="22">
      <t>ミギウエ</t>
    </rPh>
    <rPh sb="23" eb="24">
      <t>ナカガミ</t>
    </rPh>
    <rPh sb="25" eb="26">
      <t>ヒョウ</t>
    </rPh>
    <rPh sb="28" eb="30">
      <t>ミギシタ</t>
    </rPh>
    <rPh sb="36" eb="37">
      <t>ヒョウ</t>
    </rPh>
    <rPh sb="43" eb="44">
      <t>ミギ</t>
    </rPh>
    <rPh sb="44" eb="45">
      <t>ウエ</t>
    </rPh>
    <rPh sb="46" eb="47">
      <t>ヒョウ</t>
    </rPh>
    <rPh sb="49" eb="51">
      <t>ミギシタ</t>
    </rPh>
    <rPh sb="52" eb="53">
      <t>ヒョウ</t>
    </rPh>
    <rPh sb="55" eb="57">
      <t>サクセイ</t>
    </rPh>
    <phoneticPr fontId="1"/>
  </si>
  <si>
    <t>右下の表３は左の表１を作成するためのメモです。ようするに実際のゲームと直接関わっているのは、左の表１だけです。</t>
    <rPh sb="28" eb="30">
      <t>ジッサイ</t>
    </rPh>
    <rPh sb="35" eb="37">
      <t>チョクセツ</t>
    </rPh>
    <rPh sb="37" eb="38">
      <t>カカ</t>
    </rPh>
    <rPh sb="46" eb="47">
      <t>ヒダリ</t>
    </rPh>
    <rPh sb="48" eb="49">
      <t>ヒョウ</t>
    </rPh>
    <phoneticPr fontId="1"/>
  </si>
  <si>
    <t>≪表１（左）の説明≫</t>
    <rPh sb="1" eb="2">
      <t>ヒョウ</t>
    </rPh>
    <rPh sb="4" eb="5">
      <t>ヒダリ</t>
    </rPh>
    <rPh sb="7" eb="9">
      <t>セツメイ</t>
    </rPh>
    <phoneticPr fontId="1"/>
  </si>
  <si>
    <t>　　　まとめ方は、確率とそれぞれに属するアイテム数を考慮していますが、基本的には確率が近いものを</t>
    <rPh sb="6" eb="7">
      <t>カタ</t>
    </rPh>
    <rPh sb="9" eb="11">
      <t>カクリツ</t>
    </rPh>
    <rPh sb="17" eb="18">
      <t>ゾク</t>
    </rPh>
    <rPh sb="24" eb="25">
      <t>スウ</t>
    </rPh>
    <rPh sb="26" eb="28">
      <t>コウリョ</t>
    </rPh>
    <rPh sb="35" eb="38">
      <t>キホンテキ</t>
    </rPh>
    <rPh sb="40" eb="42">
      <t>カクリツ</t>
    </rPh>
    <rPh sb="43" eb="44">
      <t>チカ</t>
    </rPh>
    <phoneticPr fontId="1"/>
  </si>
  <si>
    <t>　　　まず左の表の、武器Ｃと防具Ｃの組。これは武器Ｃが７種類で２３％、防具Ｃが１２種類で４６％なので、</t>
    <rPh sb="5" eb="6">
      <t>ヒダリ</t>
    </rPh>
    <rPh sb="7" eb="8">
      <t>ヒョウ</t>
    </rPh>
    <rPh sb="10" eb="12">
      <t>ブキ</t>
    </rPh>
    <rPh sb="14" eb="16">
      <t>ボウグ</t>
    </rPh>
    <rPh sb="18" eb="19">
      <t>クミ</t>
    </rPh>
    <rPh sb="23" eb="25">
      <t>ブキ</t>
    </rPh>
    <rPh sb="28" eb="30">
      <t>シュルイ</t>
    </rPh>
    <rPh sb="35" eb="37">
      <t>ボウグ</t>
    </rPh>
    <rPh sb="41" eb="43">
      <t>シュルイ</t>
    </rPh>
    <phoneticPr fontId="1"/>
  </si>
  <si>
    <t>　　エディタのアイテムNo.入力欄に武器Ｃと防具Ｃに当てはまるアイテムのNo.を１つずつ入力し、</t>
    <rPh sb="14" eb="16">
      <t>ニュウリョク</t>
    </rPh>
    <rPh sb="16" eb="17">
      <t>ラン</t>
    </rPh>
    <rPh sb="18" eb="20">
      <t>ブキ</t>
    </rPh>
    <rPh sb="22" eb="24">
      <t>ボウグ</t>
    </rPh>
    <rPh sb="26" eb="27">
      <t>ア</t>
    </rPh>
    <rPh sb="44" eb="46">
      <t>ニュウリョク</t>
    </rPh>
    <phoneticPr fontId="1"/>
  </si>
  <si>
    <t>　　確率を武器Ｃと防具Ｃの合計である６９％に設定します。武器Ｃと防具Ｃはそれぞれに属するアイテム数の</t>
    <rPh sb="5" eb="7">
      <t>ブキ</t>
    </rPh>
    <rPh sb="9" eb="11">
      <t>ボウグ</t>
    </rPh>
    <phoneticPr fontId="1"/>
  </si>
  <si>
    <t>　　防具Ｃが約４４％弱になってしまうのですが、これくらいの誤差は問題にならないため無視しています。</t>
    <rPh sb="10" eb="11">
      <t>ジャク</t>
    </rPh>
    <rPh sb="41" eb="43">
      <t>ムシ</t>
    </rPh>
    <phoneticPr fontId="1"/>
  </si>
  <si>
    <t>1-5みたいに-で省略することができる（-は～の意味）とはいえ、とんでもない長さになります。</t>
    <rPh sb="38" eb="39">
      <t>ナガ</t>
    </rPh>
    <phoneticPr fontId="1"/>
  </si>
  <si>
    <t>表１</t>
    <rPh sb="0" eb="1">
      <t>ヒョウ</t>
    </rPh>
    <phoneticPr fontId="1"/>
  </si>
  <si>
    <t>表２</t>
    <rPh sb="0" eb="1">
      <t>ヒョウ</t>
    </rPh>
    <phoneticPr fontId="1"/>
  </si>
  <si>
    <t>≪表２の説明≫</t>
    <rPh sb="1" eb="2">
      <t>ヒョウ</t>
    </rPh>
    <rPh sb="4" eb="6">
      <t>セツメイ</t>
    </rPh>
    <phoneticPr fontId="1"/>
  </si>
  <si>
    <t>≪表３の説明≫</t>
    <rPh sb="1" eb="2">
      <t>ヒョウ</t>
    </rPh>
    <rPh sb="4" eb="6">
      <t>セツメイ</t>
    </rPh>
    <phoneticPr fontId="1"/>
  </si>
  <si>
    <t>表３</t>
    <rPh sb="0" eb="1">
      <t>ヒョウ</t>
    </rPh>
    <phoneticPr fontId="1"/>
  </si>
  <si>
    <t>　表３で、道具Ａ～Ｃと書いてある部分の詳細です。</t>
    <rPh sb="1" eb="2">
      <t>ヒョウ</t>
    </rPh>
    <rPh sb="5" eb="7">
      <t>ドウグ</t>
    </rPh>
    <rPh sb="11" eb="12">
      <t>カ</t>
    </rPh>
    <rPh sb="16" eb="18">
      <t>ブブン</t>
    </rPh>
    <rPh sb="19" eb="21">
      <t>ショウサイ</t>
    </rPh>
    <phoneticPr fontId="1"/>
  </si>
  <si>
    <t>ミスで浄化の香と眠りの砂と沈黙の粉が道具Ｂ扱いになっています。ただし何の問題にも</t>
    <rPh sb="3" eb="5">
      <t>ジョウカ</t>
    </rPh>
    <rPh sb="6" eb="7">
      <t>コウ</t>
    </rPh>
    <rPh sb="8" eb="9">
      <t>ネム</t>
    </rPh>
    <rPh sb="11" eb="12">
      <t>スナ</t>
    </rPh>
    <rPh sb="13" eb="15">
      <t>チンモク</t>
    </rPh>
    <rPh sb="16" eb="17">
      <t>コナ</t>
    </rPh>
    <rPh sb="18" eb="20">
      <t>ドウグ</t>
    </rPh>
    <rPh sb="21" eb="22">
      <t>アツカ</t>
    </rPh>
    <rPh sb="34" eb="35">
      <t>ナン</t>
    </rPh>
    <rPh sb="36" eb="38">
      <t>モンダイ</t>
    </rPh>
    <phoneticPr fontId="1"/>
  </si>
  <si>
    <t>ならないので、修正する予定はありません。</t>
    <rPh sb="7" eb="9">
      <t>シュウセイ</t>
    </rPh>
    <rPh sb="11" eb="13">
      <t>ヨテイ</t>
    </rPh>
    <phoneticPr fontId="1"/>
  </si>
  <si>
    <t>　（照明玉）</t>
    <rPh sb="2" eb="4">
      <t>ショウメイ</t>
    </rPh>
    <rPh sb="4" eb="5">
      <t>ギョク</t>
    </rPh>
    <phoneticPr fontId="1"/>
  </si>
  <si>
    <t>　道具Ａは貴重品、道具Ｂは炎と氷の巻物を除く初期在庫２０個品＋石化治療の薬、</t>
    <rPh sb="1" eb="3">
      <t>ドウグ</t>
    </rPh>
    <rPh sb="5" eb="8">
      <t>キチョウヒン</t>
    </rPh>
    <rPh sb="9" eb="11">
      <t>ドウグ</t>
    </rPh>
    <rPh sb="13" eb="14">
      <t>ホノオ</t>
    </rPh>
    <rPh sb="15" eb="16">
      <t>コオリ</t>
    </rPh>
    <rPh sb="17" eb="19">
      <t>マキモノ</t>
    </rPh>
    <rPh sb="20" eb="21">
      <t>ノゾ</t>
    </rPh>
    <rPh sb="22" eb="24">
      <t>ショキ</t>
    </rPh>
    <rPh sb="24" eb="26">
      <t>ザイコ</t>
    </rPh>
    <rPh sb="28" eb="29">
      <t>コ</t>
    </rPh>
    <rPh sb="29" eb="30">
      <t>ヒン</t>
    </rPh>
    <rPh sb="31" eb="33">
      <t>セッカ</t>
    </rPh>
    <rPh sb="33" eb="35">
      <t>チリョウ</t>
    </rPh>
    <rPh sb="36" eb="37">
      <t>クスリ</t>
    </rPh>
    <phoneticPr fontId="1"/>
  </si>
  <si>
    <t>　ただし道具のみ、上の表２に書かれている分け方です。</t>
    <rPh sb="4" eb="6">
      <t>ドウグ</t>
    </rPh>
    <rPh sb="9" eb="10">
      <t>ウエ</t>
    </rPh>
    <rPh sb="11" eb="12">
      <t>ヒョウ</t>
    </rPh>
    <rPh sb="14" eb="15">
      <t>カ</t>
    </rPh>
    <rPh sb="20" eb="21">
      <t>ワ</t>
    </rPh>
    <rPh sb="22" eb="23">
      <t>カタ</t>
    </rPh>
    <phoneticPr fontId="1"/>
  </si>
  <si>
    <t>エディタでのアイテムＮｏ．</t>
    <phoneticPr fontId="1"/>
  </si>
  <si>
    <t>　表の見方</t>
    <rPh sb="1" eb="2">
      <t>ヒョウ</t>
    </rPh>
    <rPh sb="3" eb="5">
      <t>ミカタ</t>
    </rPh>
    <phoneticPr fontId="1"/>
  </si>
  <si>
    <t>ダメージ</t>
    <phoneticPr fontId="1"/>
  </si>
  <si>
    <t>特殊能力</t>
    <rPh sb="0" eb="2">
      <t>トクシュ</t>
    </rPh>
    <rPh sb="2" eb="4">
      <t>ノウリョク</t>
    </rPh>
    <phoneticPr fontId="1"/>
  </si>
  <si>
    <t>名称</t>
    <rPh sb="0" eb="2">
      <t>メイショウ</t>
    </rPh>
    <phoneticPr fontId="1"/>
  </si>
  <si>
    <t>　ダメージは、実際のゲームデータとは大きく異なります。これは表の値が、攻撃回数、物理防御、物防貫通（敵専用の能力）を考慮していない</t>
    <rPh sb="7" eb="9">
      <t>ジッサイ</t>
    </rPh>
    <rPh sb="18" eb="19">
      <t>オオ</t>
    </rPh>
    <rPh sb="21" eb="22">
      <t>コト</t>
    </rPh>
    <rPh sb="30" eb="31">
      <t>ヒョウ</t>
    </rPh>
    <rPh sb="32" eb="33">
      <t>アタイ</t>
    </rPh>
    <rPh sb="35" eb="37">
      <t>コウゲキ</t>
    </rPh>
    <rPh sb="37" eb="39">
      <t>カイスウ</t>
    </rPh>
    <rPh sb="40" eb="42">
      <t>ブツリ</t>
    </rPh>
    <rPh sb="42" eb="44">
      <t>ボウギョ</t>
    </rPh>
    <rPh sb="45" eb="47">
      <t>ブツボウ</t>
    </rPh>
    <rPh sb="47" eb="49">
      <t>カンツウ</t>
    </rPh>
    <rPh sb="50" eb="51">
      <t>テキ</t>
    </rPh>
    <rPh sb="51" eb="53">
      <t>センヨウ</t>
    </rPh>
    <rPh sb="54" eb="56">
      <t>ノウリョク</t>
    </rPh>
    <rPh sb="58" eb="60">
      <t>コウリョ</t>
    </rPh>
    <phoneticPr fontId="1"/>
  </si>
  <si>
    <t>　サイズは実際のゲームで使用していない、モンスターの個性を表現するための計算用パラメータです。</t>
    <rPh sb="5" eb="7">
      <t>ジッサイ</t>
    </rPh>
    <rPh sb="12" eb="14">
      <t>シヨウ</t>
    </rPh>
    <rPh sb="26" eb="28">
      <t>コセイ</t>
    </rPh>
    <rPh sb="29" eb="31">
      <t>ヒョウゲン</t>
    </rPh>
    <rPh sb="36" eb="39">
      <t>ケイサンヨウ</t>
    </rPh>
    <phoneticPr fontId="1"/>
  </si>
  <si>
    <t>　特殊は、そのモンスターの特殊能力がどれくらい厄介かを数値化したものです。特殊能力ごとに値が決まっており、複数の特殊能力を持つ場合は、</t>
    <rPh sb="1" eb="3">
      <t>トクシュ</t>
    </rPh>
    <rPh sb="13" eb="15">
      <t>トクシュ</t>
    </rPh>
    <rPh sb="15" eb="17">
      <t>ノウリョク</t>
    </rPh>
    <rPh sb="23" eb="25">
      <t>ヤッカイ</t>
    </rPh>
    <rPh sb="27" eb="30">
      <t>スウチカ</t>
    </rPh>
    <rPh sb="37" eb="39">
      <t>トクシュ</t>
    </rPh>
    <rPh sb="39" eb="41">
      <t>ノウリョク</t>
    </rPh>
    <rPh sb="44" eb="45">
      <t>アタイ</t>
    </rPh>
    <rPh sb="46" eb="47">
      <t>キ</t>
    </rPh>
    <rPh sb="53" eb="55">
      <t>フクスウ</t>
    </rPh>
    <rPh sb="56" eb="58">
      <t>トクシュ</t>
    </rPh>
    <rPh sb="58" eb="60">
      <t>ノウリョク</t>
    </rPh>
    <rPh sb="61" eb="62">
      <t>モ</t>
    </rPh>
    <rPh sb="63" eb="65">
      <t>バアイ</t>
    </rPh>
    <phoneticPr fontId="1"/>
  </si>
  <si>
    <t>最も高い数値はそのまま、２番目に高い数値は１／２に、３番目に高い数値は1／４にしてから合計しています。ただし用途が完全にかぶっている能力</t>
    <rPh sb="0" eb="1">
      <t>モット</t>
    </rPh>
    <rPh sb="2" eb="3">
      <t>タカ</t>
    </rPh>
    <rPh sb="4" eb="6">
      <t>スウチ</t>
    </rPh>
    <rPh sb="13" eb="15">
      <t>バンメ</t>
    </rPh>
    <rPh sb="16" eb="17">
      <t>タカ</t>
    </rPh>
    <rPh sb="18" eb="20">
      <t>スウチ</t>
    </rPh>
    <rPh sb="27" eb="29">
      <t>バンメ</t>
    </rPh>
    <rPh sb="30" eb="31">
      <t>タカ</t>
    </rPh>
    <rPh sb="32" eb="34">
      <t>スウチ</t>
    </rPh>
    <rPh sb="43" eb="45">
      <t>ゴウケイ</t>
    </rPh>
    <rPh sb="54" eb="56">
      <t>ヨウト</t>
    </rPh>
    <rPh sb="57" eb="59">
      <t>カンゼン</t>
    </rPh>
    <rPh sb="66" eb="68">
      <t>ノウリョク</t>
    </rPh>
    <phoneticPr fontId="1"/>
  </si>
  <si>
    <t>召喚</t>
    <rPh sb="0" eb="2">
      <t>ショウカン</t>
    </rPh>
    <phoneticPr fontId="1"/>
  </si>
  <si>
    <t>眠り</t>
    <rPh sb="0" eb="1">
      <t>ネム</t>
    </rPh>
    <phoneticPr fontId="1"/>
  </si>
  <si>
    <t>特殊能力名</t>
    <rPh sb="0" eb="2">
      <t>トクシュ</t>
    </rPh>
    <rPh sb="2" eb="4">
      <t>ノウリョク</t>
    </rPh>
    <rPh sb="4" eb="5">
      <t>メイ</t>
    </rPh>
    <phoneticPr fontId="1"/>
  </si>
  <si>
    <t>数値</t>
    <rPh sb="0" eb="2">
      <t>スウチ</t>
    </rPh>
    <phoneticPr fontId="1"/>
  </si>
  <si>
    <t>後列</t>
    <rPh sb="0" eb="2">
      <t>コウレツ</t>
    </rPh>
    <phoneticPr fontId="1"/>
  </si>
  <si>
    <t>毒</t>
    <rPh sb="0" eb="1">
      <t>ドク</t>
    </rPh>
    <phoneticPr fontId="1"/>
  </si>
  <si>
    <t>マヒ</t>
    <phoneticPr fontId="1"/>
  </si>
  <si>
    <t>石化</t>
    <rPh sb="0" eb="2">
      <t>セッカ</t>
    </rPh>
    <phoneticPr fontId="1"/>
  </si>
  <si>
    <t>ブレス</t>
    <phoneticPr fontId="1"/>
  </si>
  <si>
    <t>不死</t>
    <rPh sb="0" eb="2">
      <t>フシ</t>
    </rPh>
    <phoneticPr fontId="1"/>
  </si>
  <si>
    <t>　　　　ＨＰ＝（レベル＋３）×（耐久＋９）×０．２５×サイズ＾１．５</t>
    <rPh sb="16" eb="18">
      <t>タイキュウ</t>
    </rPh>
    <phoneticPr fontId="1"/>
  </si>
  <si>
    <t>　　　　経験値＝（（（レベル＋１．８）＾１．４×（サイズ＾１．２５）×（－０．２５×（ＡＣ－１０）＋（筋力～魔防の合計）））＾（１＋特殊×０．４）＋特殊×２００＋ＨＰ×２）×（１＋格×０．２５）×０．８</t>
    <rPh sb="4" eb="7">
      <t>ケイケンチ</t>
    </rPh>
    <rPh sb="51" eb="53">
      <t>キンリョク</t>
    </rPh>
    <rPh sb="54" eb="56">
      <t>マボウ</t>
    </rPh>
    <rPh sb="57" eb="59">
      <t>ゴウケイ</t>
    </rPh>
    <rPh sb="66" eb="68">
      <t>トクシュ</t>
    </rPh>
    <rPh sb="74" eb="76">
      <t>トクシュ</t>
    </rPh>
    <rPh sb="90" eb="91">
      <t>カク</t>
    </rPh>
    <phoneticPr fontId="1"/>
  </si>
  <si>
    <t>　　　　ダメージ＝筋力×（サイズ＋２）×（レベル×０．９＋４）×０．０４５</t>
    <rPh sb="9" eb="11">
      <t>キンリョク</t>
    </rPh>
    <phoneticPr fontId="1"/>
  </si>
  <si>
    <t>　ＨＰ、経験値、ダメージの欄は、計算式で求めています。</t>
    <rPh sb="4" eb="7">
      <t>ケイケンチ</t>
    </rPh>
    <rPh sb="13" eb="14">
      <t>ラン</t>
    </rPh>
    <rPh sb="16" eb="19">
      <t>ケイサンシキ</t>
    </rPh>
    <rPh sb="20" eb="21">
      <t>モト</t>
    </rPh>
    <phoneticPr fontId="1"/>
  </si>
  <si>
    <t>ためです。実際にはゲームが進むほど味方の物理防御が高くなるため表の値よりも高くなり、攻撃回数が多いほど物理防御の影響を大きく</t>
    <rPh sb="5" eb="7">
      <t>ジッサイ</t>
    </rPh>
    <rPh sb="13" eb="14">
      <t>スス</t>
    </rPh>
    <rPh sb="17" eb="19">
      <t>ミカタ</t>
    </rPh>
    <rPh sb="20" eb="22">
      <t>ブツリ</t>
    </rPh>
    <rPh sb="22" eb="24">
      <t>ボウギョ</t>
    </rPh>
    <rPh sb="25" eb="26">
      <t>タカ</t>
    </rPh>
    <rPh sb="31" eb="32">
      <t>ヒョウ</t>
    </rPh>
    <rPh sb="33" eb="34">
      <t>アタイ</t>
    </rPh>
    <rPh sb="37" eb="38">
      <t>タカ</t>
    </rPh>
    <rPh sb="42" eb="44">
      <t>コウゲキ</t>
    </rPh>
    <rPh sb="44" eb="46">
      <t>カイスウ</t>
    </rPh>
    <rPh sb="47" eb="48">
      <t>オオ</t>
    </rPh>
    <rPh sb="51" eb="53">
      <t>ブツリ</t>
    </rPh>
    <rPh sb="53" eb="55">
      <t>ボウギョ</t>
    </rPh>
    <rPh sb="56" eb="58">
      <t>エイキョウ</t>
    </rPh>
    <rPh sb="59" eb="60">
      <t>オオ</t>
    </rPh>
    <phoneticPr fontId="1"/>
  </si>
  <si>
    <t>（例えば後列攻撃とダメージ魔法の両方を使用するモンスターは、後列攻撃がなくても後列に攻撃できる）は、弱いほうを０として計算しています。</t>
    <rPh sb="1" eb="2">
      <t>タト</t>
    </rPh>
    <rPh sb="4" eb="6">
      <t>コウレツ</t>
    </rPh>
    <rPh sb="6" eb="8">
      <t>コウゲキ</t>
    </rPh>
    <rPh sb="13" eb="15">
      <t>マホウ</t>
    </rPh>
    <rPh sb="16" eb="18">
      <t>リョウホウ</t>
    </rPh>
    <rPh sb="19" eb="21">
      <t>シヨウ</t>
    </rPh>
    <rPh sb="30" eb="32">
      <t>コウレツ</t>
    </rPh>
    <rPh sb="32" eb="34">
      <t>コウゲキ</t>
    </rPh>
    <rPh sb="39" eb="41">
      <t>コウレツ</t>
    </rPh>
    <rPh sb="42" eb="44">
      <t>コウゲキ</t>
    </rPh>
    <rPh sb="50" eb="51">
      <t>ヨワ</t>
    </rPh>
    <rPh sb="59" eb="61">
      <t>ケイサン</t>
    </rPh>
    <phoneticPr fontId="1"/>
  </si>
  <si>
    <t>*</t>
    <phoneticPr fontId="1"/>
  </si>
  <si>
    <t>不死がマイナスなのは、解呪で即死するという弱点のため</t>
    <rPh sb="0" eb="2">
      <t>フシ</t>
    </rPh>
    <rPh sb="11" eb="13">
      <t>カイジュ</t>
    </rPh>
    <rPh sb="14" eb="16">
      <t>ソクシ</t>
    </rPh>
    <rPh sb="21" eb="23">
      <t>ジャクテン</t>
    </rPh>
    <phoneticPr fontId="1"/>
  </si>
  <si>
    <t>再生は、スライムが０．１、ゴーレムが０．０７５</t>
    <rPh sb="0" eb="2">
      <t>サイセイ</t>
    </rPh>
    <phoneticPr fontId="1"/>
  </si>
  <si>
    <t>　格というのは、経験値を強引に修正するための値です。経験値の計算式は、そのモンスターの強さを正確に表現できているわけではないので、明らかにおかしい</t>
    <rPh sb="1" eb="2">
      <t>カク</t>
    </rPh>
    <rPh sb="8" eb="11">
      <t>ケイケンチ</t>
    </rPh>
    <rPh sb="12" eb="14">
      <t>ゴウイン</t>
    </rPh>
    <rPh sb="15" eb="17">
      <t>シュウセイ</t>
    </rPh>
    <rPh sb="22" eb="23">
      <t>アタイ</t>
    </rPh>
    <rPh sb="26" eb="29">
      <t>ケイケンチ</t>
    </rPh>
    <rPh sb="30" eb="33">
      <t>ケイサンシキ</t>
    </rPh>
    <rPh sb="43" eb="44">
      <t>ツヨ</t>
    </rPh>
    <rPh sb="46" eb="48">
      <t>セイカク</t>
    </rPh>
    <rPh sb="49" eb="51">
      <t>ヒョウゲン</t>
    </rPh>
    <rPh sb="65" eb="66">
      <t>アキ</t>
    </rPh>
    <phoneticPr fontId="1"/>
  </si>
  <si>
    <t>モンスターに関しては、ここに適当な値を入力して、それっぽい結果になるように調節しています。</t>
    <rPh sb="6" eb="7">
      <t>カン</t>
    </rPh>
    <rPh sb="14" eb="16">
      <t>テキトウ</t>
    </rPh>
    <rPh sb="17" eb="18">
      <t>アタイ</t>
    </rPh>
    <rPh sb="19" eb="21">
      <t>ニュウリョク</t>
    </rPh>
    <rPh sb="29" eb="31">
      <t>ケッカ</t>
    </rPh>
    <rPh sb="37" eb="39">
      <t>チョウセツ</t>
    </rPh>
    <phoneticPr fontId="1"/>
  </si>
  <si>
    <t>受けるため高くなり、物防貫通を持つ敵はこちらの物理防御の影響を受けにくいため低くなります。</t>
    <rPh sb="0" eb="1">
      <t>ウ</t>
    </rPh>
    <rPh sb="5" eb="6">
      <t>タカ</t>
    </rPh>
    <rPh sb="10" eb="12">
      <t>ブツボウ</t>
    </rPh>
    <rPh sb="12" eb="14">
      <t>カンツウ</t>
    </rPh>
    <rPh sb="15" eb="16">
      <t>モ</t>
    </rPh>
    <rPh sb="17" eb="18">
      <t>テキ</t>
    </rPh>
    <rPh sb="23" eb="25">
      <t>ブツリ</t>
    </rPh>
    <rPh sb="25" eb="27">
      <t>ボウギョ</t>
    </rPh>
    <rPh sb="28" eb="30">
      <t>エイキョウ</t>
    </rPh>
    <rPh sb="31" eb="32">
      <t>ウ</t>
    </rPh>
    <rPh sb="38" eb="39">
      <t>ヒク</t>
    </rPh>
    <phoneticPr fontId="1"/>
  </si>
  <si>
    <t>魔法は、レベル×０．０５</t>
    <rPh sb="0" eb="2">
      <t>マホウ</t>
    </rPh>
    <phoneticPr fontId="1"/>
  </si>
  <si>
    <t>　敵が落とす宝箱は１８のランクに分かれていて、それが宝箱ランクです。</t>
    <rPh sb="1" eb="2">
      <t>テキ</t>
    </rPh>
    <rPh sb="3" eb="4">
      <t>オ</t>
    </rPh>
    <rPh sb="6" eb="8">
      <t>タカラバコ</t>
    </rPh>
    <rPh sb="16" eb="17">
      <t>ワ</t>
    </rPh>
    <rPh sb="26" eb="28">
      <t>タカラバコ</t>
    </rPh>
    <phoneticPr fontId="1"/>
  </si>
  <si>
    <t>フラグNo.</t>
    <phoneticPr fontId="1"/>
  </si>
  <si>
    <t>レイディアの遺髪</t>
    <rPh sb="6" eb="8">
      <t>イハツ</t>
    </rPh>
    <phoneticPr fontId="1"/>
  </si>
  <si>
    <t>ドラゴン倒す</t>
    <rPh sb="4" eb="5">
      <t>タオ</t>
    </rPh>
    <phoneticPr fontId="1"/>
  </si>
  <si>
    <t>デュランに報告（デュナス町）</t>
    <rPh sb="5" eb="7">
      <t>ホウコク</t>
    </rPh>
    <rPh sb="12" eb="13">
      <t>マチ</t>
    </rPh>
    <phoneticPr fontId="1"/>
  </si>
  <si>
    <t>これで十分でしたが、複雑なゲームを作るならば細かいことまでメモしておかなければ、いずれ困ることになると思います。</t>
    <rPh sb="3" eb="5">
      <t>ジュウブン</t>
    </rPh>
    <rPh sb="10" eb="12">
      <t>フクザツ</t>
    </rPh>
    <rPh sb="17" eb="18">
      <t>ツク</t>
    </rPh>
    <rPh sb="22" eb="23">
      <t>コマ</t>
    </rPh>
    <rPh sb="43" eb="44">
      <t>コマ</t>
    </rPh>
    <rPh sb="51" eb="52">
      <t>オモ</t>
    </rPh>
    <phoneticPr fontId="1"/>
  </si>
  <si>
    <t>　フラグのメモです。テキトーすぎて、今見ると自分でも何が何やら分かりません。孤島の牢獄はフラグ的には非常に単純なゲームなので</t>
    <rPh sb="18" eb="19">
      <t>イマ</t>
    </rPh>
    <rPh sb="19" eb="20">
      <t>ミ</t>
    </rPh>
    <rPh sb="22" eb="24">
      <t>ジブン</t>
    </rPh>
    <rPh sb="26" eb="27">
      <t>ナニ</t>
    </rPh>
    <rPh sb="28" eb="29">
      <t>ナニ</t>
    </rPh>
    <rPh sb="31" eb="32">
      <t>ワ</t>
    </rPh>
    <rPh sb="38" eb="40">
      <t>コトウ</t>
    </rPh>
    <rPh sb="41" eb="43">
      <t>ロウゴク</t>
    </rPh>
    <rPh sb="47" eb="48">
      <t>テキ</t>
    </rPh>
    <rPh sb="50" eb="52">
      <t>ヒジョウ</t>
    </rPh>
    <rPh sb="53" eb="55">
      <t>タンジュン</t>
    </rPh>
    <phoneticPr fontId="1"/>
  </si>
  <si>
    <t>　　　補助魔法の重ねがけが強くなりすぎるのを防ぐため、</t>
    <rPh sb="3" eb="5">
      <t>ホジョ</t>
    </rPh>
    <rPh sb="5" eb="7">
      <t>マホウ</t>
    </rPh>
    <rPh sb="8" eb="9">
      <t>カサ</t>
    </rPh>
    <rPh sb="13" eb="14">
      <t>ツヨ</t>
    </rPh>
    <rPh sb="22" eb="23">
      <t>フセ</t>
    </rPh>
    <phoneticPr fontId="1"/>
  </si>
  <si>
    <t>　　孤島の牢獄・改では特殊な計算式を使っています。</t>
    <rPh sb="2" eb="4">
      <t>コトウ</t>
    </rPh>
    <rPh sb="5" eb="7">
      <t>ロウゴク</t>
    </rPh>
    <rPh sb="8" eb="9">
      <t>カイ</t>
    </rPh>
    <rPh sb="11" eb="13">
      <t>トクシュ</t>
    </rPh>
    <rPh sb="14" eb="17">
      <t>ケイサンシキ</t>
    </rPh>
    <rPh sb="18" eb="19">
      <t>ツカ</t>
    </rPh>
    <phoneticPr fontId="1"/>
  </si>
  <si>
    <t>　　　これはバランス調整に使っていた表です。</t>
    <rPh sb="10" eb="12">
      <t>チョウセイ</t>
    </rPh>
    <rPh sb="13" eb="14">
      <t>ツカ</t>
    </rPh>
    <rPh sb="18" eb="19">
      <t>ヒョウ</t>
    </rPh>
    <phoneticPr fontId="1"/>
  </si>
  <si>
    <t>　　　特殊計算式の詳細は、ホームページをご覧ください。</t>
    <rPh sb="3" eb="5">
      <t>トクシュ</t>
    </rPh>
    <rPh sb="5" eb="8">
      <t>ケイサンシキ</t>
    </rPh>
    <rPh sb="9" eb="11">
      <t>ショウサイ</t>
    </rPh>
    <rPh sb="21" eb="22">
      <t>ラン</t>
    </rPh>
    <phoneticPr fontId="1"/>
  </si>
  <si>
    <t>　これの意味については、ホームページをご覧ください。</t>
    <rPh sb="4" eb="6">
      <t>イミ</t>
    </rPh>
    <rPh sb="20" eb="21">
      <t>ラン</t>
    </rPh>
    <phoneticPr fontId="1"/>
  </si>
  <si>
    <t>モンスターデータ作成に使用していたページです。</t>
    <rPh sb="8" eb="10">
      <t>サクセイ</t>
    </rPh>
    <rPh sb="11" eb="13">
      <t>シヨウ</t>
    </rPh>
    <phoneticPr fontId="1"/>
  </si>
  <si>
    <t>大まかな数値を算出するための計算用のものであり、実際のゲームデータと同じとは限りません。モンスターの順番は全然違いますし、モンスター名すら違う場合があります。</t>
    <rPh sb="0" eb="1">
      <t>オオ</t>
    </rPh>
    <rPh sb="4" eb="6">
      <t>スウチ</t>
    </rPh>
    <rPh sb="7" eb="9">
      <t>サンシュツ</t>
    </rPh>
    <rPh sb="14" eb="17">
      <t>ケイサンヨウ</t>
    </rPh>
    <rPh sb="24" eb="26">
      <t>ジッサイ</t>
    </rPh>
    <rPh sb="34" eb="35">
      <t>オナ</t>
    </rPh>
    <rPh sb="38" eb="39">
      <t>カギ</t>
    </rPh>
    <rPh sb="50" eb="52">
      <t>ジュンバン</t>
    </rPh>
    <rPh sb="53" eb="55">
      <t>ゼンゼン</t>
    </rPh>
    <rPh sb="55" eb="56">
      <t>チガ</t>
    </rPh>
    <rPh sb="66" eb="67">
      <t>メイ</t>
    </rPh>
    <rPh sb="69" eb="70">
      <t>チガ</t>
    </rPh>
    <rPh sb="71" eb="73">
      <t>バアイ</t>
    </rPh>
    <phoneticPr fontId="1"/>
  </si>
  <si>
    <t>　　一緒にしています。そのアイテム群に含まれるアイテムの種類数は、右下の表３を見ると分かります。</t>
    <rPh sb="2" eb="4">
      <t>イッショ</t>
    </rPh>
    <rPh sb="17" eb="18">
      <t>グン</t>
    </rPh>
    <rPh sb="19" eb="20">
      <t>フク</t>
    </rPh>
    <rPh sb="28" eb="30">
      <t>シュルイ</t>
    </rPh>
    <rPh sb="30" eb="31">
      <t>カズ</t>
    </rPh>
    <rPh sb="33" eb="35">
      <t>ミギシタ</t>
    </rPh>
    <rPh sb="36" eb="37">
      <t>ヒョウ</t>
    </rPh>
    <rPh sb="39" eb="40">
      <t>ミ</t>
    </rPh>
    <rPh sb="42" eb="43">
      <t>ワ</t>
    </rPh>
    <phoneticPr fontId="1"/>
  </si>
  <si>
    <t>　ちなみに制作中に何度も仕様を変更したため、モンスターによって計算方法が異なっていることがあります。</t>
    <rPh sb="5" eb="8">
      <t>セイサクチュウ</t>
    </rPh>
    <rPh sb="9" eb="11">
      <t>ナンド</t>
    </rPh>
    <rPh sb="12" eb="14">
      <t>シヨウ</t>
    </rPh>
    <rPh sb="15" eb="17">
      <t>ヘンコウ</t>
    </rPh>
    <rPh sb="31" eb="33">
      <t>ケイサン</t>
    </rPh>
    <rPh sb="33" eb="35">
      <t>ホウホウ</t>
    </rPh>
    <rPh sb="36" eb="37">
      <t>コト</t>
    </rPh>
    <phoneticPr fontId="1"/>
  </si>
  <si>
    <t>計算時には１を引いて使用している）。</t>
    <rPh sb="0" eb="2">
      <t>ケイサン</t>
    </rPh>
    <rPh sb="2" eb="3">
      <t>ジ</t>
    </rPh>
    <rPh sb="7" eb="8">
      <t>ヒ</t>
    </rPh>
    <rPh sb="10" eb="12">
      <t>シヨウ</t>
    </rPh>
    <phoneticPr fontId="1"/>
  </si>
  <si>
    <t>　物防、魔防は、表の値に１を足したものが、実際のゲームデータになります（Javardryでは１未満の能力値を設定できないため、１を足して入力し、</t>
    <rPh sb="1" eb="3">
      <t>ブツボウ</t>
    </rPh>
    <rPh sb="8" eb="9">
      <t>ヒョウ</t>
    </rPh>
    <rPh sb="10" eb="11">
      <t>アタイ</t>
    </rPh>
    <rPh sb="14" eb="15">
      <t>タ</t>
    </rPh>
    <rPh sb="21" eb="23">
      <t>ジッサイ</t>
    </rPh>
    <rPh sb="47" eb="49">
      <t>ミマン</t>
    </rPh>
    <rPh sb="50" eb="53">
      <t>ノウリョクチ</t>
    </rPh>
    <rPh sb="54" eb="56">
      <t>セッテイ</t>
    </rPh>
    <phoneticPr fontId="1"/>
  </si>
  <si>
    <t>7*18=126</t>
    <phoneticPr fontId="1"/>
  </si>
  <si>
    <t>14*1=14</t>
    <phoneticPr fontId="1"/>
  </si>
  <si>
    <t>7*16=112</t>
    <phoneticPr fontId="1"/>
  </si>
  <si>
    <t>7*1=7</t>
    <phoneticPr fontId="1"/>
  </si>
  <si>
    <t>12*1=12</t>
    <phoneticPr fontId="1"/>
  </si>
  <si>
    <t>12*1=12</t>
    <phoneticPr fontId="1"/>
  </si>
  <si>
    <t>14*1=14</t>
    <phoneticPr fontId="1"/>
  </si>
  <si>
    <t>7*1=7</t>
    <phoneticPr fontId="1"/>
  </si>
  <si>
    <t>12*1=12</t>
    <phoneticPr fontId="1"/>
  </si>
  <si>
    <t>6*1=6</t>
    <phoneticPr fontId="1"/>
  </si>
  <si>
    <t>7*1=7</t>
    <phoneticPr fontId="1"/>
  </si>
  <si>
    <t>14*1=14</t>
    <phoneticPr fontId="1"/>
  </si>
  <si>
    <t>17*1=17</t>
    <phoneticPr fontId="1"/>
  </si>
  <si>
    <t>7*1=7</t>
    <phoneticPr fontId="1"/>
  </si>
  <si>
    <t>12*1=12</t>
    <phoneticPr fontId="1"/>
  </si>
  <si>
    <t>6*2=12</t>
    <phoneticPr fontId="1"/>
  </si>
  <si>
    <t>7*5=35</t>
    <phoneticPr fontId="1"/>
  </si>
  <si>
    <t>12*6=72</t>
    <phoneticPr fontId="1"/>
  </si>
  <si>
    <t>14*3=42</t>
    <phoneticPr fontId="1"/>
  </si>
  <si>
    <t>7*6=42</t>
    <phoneticPr fontId="1"/>
  </si>
  <si>
    <t>17*5=85</t>
    <phoneticPr fontId="1"/>
  </si>
  <si>
    <t>12*3=36</t>
    <phoneticPr fontId="1"/>
  </si>
  <si>
    <t>14*1=14</t>
    <phoneticPr fontId="1"/>
  </si>
  <si>
    <t>17*2=34</t>
    <phoneticPr fontId="1"/>
  </si>
  <si>
    <t>7*6=42</t>
    <phoneticPr fontId="1"/>
  </si>
  <si>
    <t>7*3=21</t>
    <phoneticPr fontId="1"/>
  </si>
  <si>
    <t>17*4=68</t>
    <phoneticPr fontId="1"/>
  </si>
  <si>
    <t>12*2=24</t>
    <phoneticPr fontId="1"/>
  </si>
  <si>
    <t>12*1=12</t>
    <phoneticPr fontId="1"/>
  </si>
  <si>
    <t>14*4=56</t>
    <phoneticPr fontId="1"/>
  </si>
  <si>
    <t>12*2=24</t>
    <phoneticPr fontId="1"/>
  </si>
  <si>
    <t>12*2=24</t>
    <phoneticPr fontId="1"/>
  </si>
  <si>
    <t>7*5=35</t>
    <phoneticPr fontId="1"/>
  </si>
  <si>
    <t>7*2=14</t>
    <phoneticPr fontId="1"/>
  </si>
  <si>
    <t>12*6=72</t>
    <phoneticPr fontId="1"/>
  </si>
  <si>
    <t>14*9=126</t>
    <phoneticPr fontId="1"/>
  </si>
  <si>
    <t>21*2=42</t>
    <phoneticPr fontId="1"/>
  </si>
  <si>
    <t>7*4=28</t>
    <phoneticPr fontId="1"/>
  </si>
  <si>
    <t>21*3=63</t>
    <phoneticPr fontId="1"/>
  </si>
  <si>
    <t>12*6=72</t>
    <phoneticPr fontId="1"/>
  </si>
  <si>
    <t>17*4=68</t>
    <phoneticPr fontId="1"/>
  </si>
  <si>
    <t>21*3=63</t>
    <phoneticPr fontId="1"/>
  </si>
  <si>
    <t>7*2=14</t>
    <phoneticPr fontId="1"/>
  </si>
  <si>
    <t>14*5=70</t>
    <phoneticPr fontId="1"/>
  </si>
  <si>
    <t>13*4=52</t>
    <phoneticPr fontId="1"/>
  </si>
  <si>
    <t>12*5=60</t>
    <phoneticPr fontId="1"/>
  </si>
  <si>
    <t>21*1=21</t>
    <phoneticPr fontId="1"/>
  </si>
  <si>
    <t>Ver2.11では、ミスで40.67%になっています（エディットデータは修正済み）</t>
    <rPh sb="36" eb="38">
      <t>シュウセイ</t>
    </rPh>
    <rPh sb="38" eb="39">
      <t>ズ</t>
    </rPh>
    <phoneticPr fontId="1"/>
  </si>
  <si>
    <t>Ver2.11では、ミスで20.33%になっています（エディットデータは修正済み）</t>
    <phoneticPr fontId="1"/>
  </si>
  <si>
    <t>7*2=14</t>
    <phoneticPr fontId="1"/>
  </si>
  <si>
    <t>12*3=36</t>
    <phoneticPr fontId="1"/>
  </si>
  <si>
    <t>21*1=21</t>
    <phoneticPr fontId="1"/>
  </si>
  <si>
    <t>13*2=26</t>
    <phoneticPr fontId="1"/>
  </si>
  <si>
    <t>7*3=21</t>
    <phoneticPr fontId="1"/>
  </si>
  <si>
    <t>14*11=154</t>
    <phoneticPr fontId="1"/>
  </si>
  <si>
    <t>13*8=104</t>
    <phoneticPr fontId="1"/>
  </si>
  <si>
    <t>8*1=8</t>
    <phoneticPr fontId="1"/>
  </si>
  <si>
    <t>8*2=16</t>
    <phoneticPr fontId="1"/>
  </si>
  <si>
    <t>13*5=65</t>
    <phoneticPr fontId="1"/>
  </si>
  <si>
    <t>7*7=49</t>
    <phoneticPr fontId="1"/>
  </si>
  <si>
    <t>8*3=24</t>
    <phoneticPr fontId="1"/>
  </si>
  <si>
    <t>21*2=42</t>
    <phoneticPr fontId="1"/>
  </si>
  <si>
    <t>13*8=104</t>
    <phoneticPr fontId="1"/>
  </si>
  <si>
    <t>12*5=60</t>
    <phoneticPr fontId="1"/>
  </si>
  <si>
    <t>21*3=63</t>
    <phoneticPr fontId="1"/>
  </si>
  <si>
    <t>14*7=98</t>
    <phoneticPr fontId="1"/>
  </si>
  <si>
    <t>13*6=78</t>
    <phoneticPr fontId="1"/>
  </si>
  <si>
    <t>12*5=60</t>
    <phoneticPr fontId="1"/>
  </si>
  <si>
    <t>21*3=63</t>
    <phoneticPr fontId="1"/>
  </si>
  <si>
    <t>14*7=98</t>
    <phoneticPr fontId="1"/>
  </si>
  <si>
    <t>　次にその下の、武器Ｂと防具Ｂと＊の組。注目してほしいのは、先ほど無視したメモの欄です。これは「アイテムの種類数×回数＝入力するアイテムNo.の数」です。</t>
    <rPh sb="1" eb="2">
      <t>ツギ</t>
    </rPh>
    <rPh sb="5" eb="6">
      <t>シタ</t>
    </rPh>
    <rPh sb="8" eb="10">
      <t>ブキ</t>
    </rPh>
    <rPh sb="12" eb="14">
      <t>ボウグ</t>
    </rPh>
    <rPh sb="18" eb="19">
      <t>クミ</t>
    </rPh>
    <rPh sb="20" eb="22">
      <t>チュウモク</t>
    </rPh>
    <rPh sb="30" eb="31">
      <t>サキ</t>
    </rPh>
    <rPh sb="33" eb="35">
      <t>ムシ</t>
    </rPh>
    <rPh sb="40" eb="41">
      <t>ラン</t>
    </rPh>
    <rPh sb="53" eb="56">
      <t>シュルイスウ</t>
    </rPh>
    <rPh sb="57" eb="59">
      <t>カイスウ</t>
    </rPh>
    <rPh sb="60" eb="62">
      <t>ニュウリョク</t>
    </rPh>
    <rPh sb="72" eb="73">
      <t>カズ</t>
    </rPh>
    <phoneticPr fontId="1"/>
  </si>
  <si>
    <t>この意味は、武器Ｂに属するアイテムが（右下の表３によれば）７種類あり、それを５回ずつ入力すれば、合計で３５個分の入力になるということです。</t>
    <rPh sb="2" eb="4">
      <t>イミ</t>
    </rPh>
    <rPh sb="6" eb="8">
      <t>ブキ</t>
    </rPh>
    <rPh sb="10" eb="11">
      <t>ゾク</t>
    </rPh>
    <rPh sb="56" eb="58">
      <t>ニュウリョク</t>
    </rPh>
    <phoneticPr fontId="1"/>
  </si>
  <si>
    <t>　防具Ｂと＊はそれぞれ１２種類で、どちらも６回ずつ入力するので、合計は７２個分ずつ。</t>
    <phoneticPr fontId="1"/>
  </si>
  <si>
    <t>　つまりエディタの宝箱ランク６の２番目の入力欄には、アイテムNo.が全部で１７９個分（３５＋７２＋７２）入ります。入力するアイテムのNo.が続いていれば、</t>
    <rPh sb="9" eb="11">
      <t>タカラバコ</t>
    </rPh>
    <rPh sb="17" eb="19">
      <t>バンメ</t>
    </rPh>
    <rPh sb="20" eb="22">
      <t>ニュウリョク</t>
    </rPh>
    <rPh sb="22" eb="23">
      <t>ラン</t>
    </rPh>
    <rPh sb="34" eb="36">
      <t>ゼンブ</t>
    </rPh>
    <rPh sb="40" eb="42">
      <t>コブン</t>
    </rPh>
    <rPh sb="52" eb="53">
      <t>ハイ</t>
    </rPh>
    <rPh sb="57" eb="59">
      <t>ニュウリョク</t>
    </rPh>
    <rPh sb="70" eb="71">
      <t>ツヅ</t>
    </rPh>
    <phoneticPr fontId="1"/>
  </si>
  <si>
    <t>　宝箱の中身に関するページです。入手率の調整に関することが中心です。ちょっとややこしいのでご覚悟を。</t>
    <rPh sb="1" eb="3">
      <t>タカラバコ</t>
    </rPh>
    <rPh sb="4" eb="6">
      <t>ナカミ</t>
    </rPh>
    <rPh sb="7" eb="8">
      <t>カン</t>
    </rPh>
    <rPh sb="16" eb="18">
      <t>ニュウシュ</t>
    </rPh>
    <rPh sb="18" eb="19">
      <t>リツ</t>
    </rPh>
    <rPh sb="20" eb="22">
      <t>チョウセイ</t>
    </rPh>
    <rPh sb="23" eb="24">
      <t>カン</t>
    </rPh>
    <rPh sb="29" eb="31">
      <t>チュウシン</t>
    </rPh>
    <rPh sb="46" eb="48">
      <t>カクゴ</t>
    </rPh>
    <phoneticPr fontId="1"/>
  </si>
  <si>
    <t>　…の前に、JavardryEditorの仕様の話をしておきます。入手アイテムはアイテムNo.で設定するのですが、１つの入手パターンに複数のNo.が設定されている場合は、</t>
    <rPh sb="3" eb="4">
      <t>マエ</t>
    </rPh>
    <rPh sb="21" eb="23">
      <t>シヨウ</t>
    </rPh>
    <rPh sb="24" eb="25">
      <t>ハナシ</t>
    </rPh>
    <rPh sb="33" eb="35">
      <t>ニュウシュ</t>
    </rPh>
    <rPh sb="48" eb="50">
      <t>セッテイ</t>
    </rPh>
    <rPh sb="60" eb="62">
      <t>ニュウシュ</t>
    </rPh>
    <rPh sb="67" eb="69">
      <t>フクスウ</t>
    </rPh>
    <rPh sb="74" eb="76">
      <t>セッテイ</t>
    </rPh>
    <rPh sb="81" eb="83">
      <t>バアイ</t>
    </rPh>
    <phoneticPr fontId="1"/>
  </si>
  <si>
    <t>その中の１つがランダムで手に入るようになります。1,2,3,4ならばNo.1～4から１つが手に入るわけです。</t>
    <rPh sb="12" eb="13">
      <t>テ</t>
    </rPh>
    <rPh sb="14" eb="15">
      <t>ハイ</t>
    </rPh>
    <rPh sb="45" eb="46">
      <t>テ</t>
    </rPh>
    <rPh sb="47" eb="48">
      <t>ハイ</t>
    </rPh>
    <phoneticPr fontId="1"/>
  </si>
  <si>
    <t>　なおこの時に1,1,1,2,3,4と設定されていれば、1は2～4それぞれの３倍の確率で入手できます。</t>
    <rPh sb="44" eb="46">
      <t>ニュウシュ</t>
    </rPh>
    <phoneticPr fontId="1"/>
  </si>
  <si>
    <t>　大変な作業にはなりますが（当然コピペ）、この方法ならば大量のアイテムを自由なバランスで設定することができます。もちろんすべての合計が、</t>
    <rPh sb="1" eb="3">
      <t>タイヘン</t>
    </rPh>
    <rPh sb="4" eb="6">
      <t>サギョウ</t>
    </rPh>
    <rPh sb="14" eb="16">
      <t>トウゼン</t>
    </rPh>
    <rPh sb="23" eb="25">
      <t>ホウホウ</t>
    </rPh>
    <rPh sb="28" eb="30">
      <t>タイリョウ</t>
    </rPh>
    <rPh sb="36" eb="38">
      <t>ジユウ</t>
    </rPh>
    <rPh sb="44" eb="46">
      <t>セッテイ</t>
    </rPh>
    <phoneticPr fontId="1"/>
  </si>
  <si>
    <t>３００％以下になるようにしなければなりませんが。</t>
    <phoneticPr fontId="1"/>
  </si>
  <si>
    <t>を遅らせるため、それを含まないのを＊、含むのを＊２としています。</t>
    <rPh sb="1" eb="2">
      <t>オク</t>
    </rPh>
    <rPh sb="11" eb="12">
      <t>フク</t>
    </rPh>
    <rPh sb="19" eb="20">
      <t>フク</t>
    </rPh>
    <phoneticPr fontId="1"/>
  </si>
  <si>
    <t>　余談ですが、アイテムの入手確率は「武器２４％」「防具４８％」「消耗品２４％」を基本としています。</t>
    <rPh sb="1" eb="3">
      <t>ヨダン</t>
    </rPh>
    <rPh sb="12" eb="14">
      <t>ニュウシュ</t>
    </rPh>
    <rPh sb="14" eb="16">
      <t>カクリツ</t>
    </rPh>
    <rPh sb="18" eb="20">
      <t>ブキ</t>
    </rPh>
    <rPh sb="25" eb="27">
      <t>ボウグ</t>
    </rPh>
    <rPh sb="32" eb="35">
      <t>ショウモウヒン</t>
    </rPh>
    <rPh sb="40" eb="42">
      <t>キホン</t>
    </rPh>
    <phoneticPr fontId="1"/>
  </si>
  <si>
    <t>　もっとも例外は多々ありますが。</t>
    <rPh sb="5" eb="7">
      <t>レイガイ</t>
    </rPh>
    <rPh sb="8" eb="10">
      <t>タタ</t>
    </rPh>
    <phoneticPr fontId="1"/>
  </si>
  <si>
    <t>でも重要性は「武器＝防具全種」だからです。</t>
    <rPh sb="2" eb="5">
      <t>ジュウヨウセイ</t>
    </rPh>
    <rPh sb="7" eb="9">
      <t>ブキ</t>
    </rPh>
    <rPh sb="10" eb="12">
      <t>ボウグ</t>
    </rPh>
    <rPh sb="12" eb="14">
      <t>ゼンシュ</t>
    </rPh>
    <phoneticPr fontId="1"/>
  </si>
  <si>
    <t>　複数のランクが混在するのが普通のため、「武器Ｄ１６％＋武器Ｃ８％＝合計２４％」などとなります。</t>
    <rPh sb="1" eb="3">
      <t>フクスウ</t>
    </rPh>
    <rPh sb="8" eb="10">
      <t>コンザイ</t>
    </rPh>
    <rPh sb="14" eb="16">
      <t>フツウ</t>
    </rPh>
    <rPh sb="21" eb="23">
      <t>ブキ</t>
    </rPh>
    <rPh sb="28" eb="30">
      <t>ブキ</t>
    </rPh>
    <rPh sb="34" eb="36">
      <t>ゴウケイ</t>
    </rPh>
    <phoneticPr fontId="1"/>
  </si>
  <si>
    <t>　具体的には、入手パターンＡが６０％に設定されていて、アイテムNo.が1,1,1,2,3,4と設定されていれば、１は３０％、２～４はそれぞれ１０％の確率で入手できるわけです。</t>
    <rPh sb="1" eb="4">
      <t>グタイテキ</t>
    </rPh>
    <rPh sb="7" eb="9">
      <t>ニュウシュ</t>
    </rPh>
    <rPh sb="19" eb="21">
      <t>セッテイ</t>
    </rPh>
    <rPh sb="47" eb="49">
      <t>セッテイ</t>
    </rPh>
    <rPh sb="74" eb="76">
      <t>カクリツ</t>
    </rPh>
    <rPh sb="77" eb="79">
      <t>ニュウシュ</t>
    </rPh>
    <phoneticPr fontId="1"/>
  </si>
  <si>
    <t>　この仕様を利用して、大量のアイテムを自由な確率で設定する方法を説明します。</t>
    <rPh sb="11" eb="13">
      <t>タイリョウ</t>
    </rPh>
    <rPh sb="19" eb="21">
      <t>ジユウ</t>
    </rPh>
    <rPh sb="22" eb="24">
      <t>カクリツ</t>
    </rPh>
    <rPh sb="25" eb="27">
      <t>セッテイ</t>
    </rPh>
    <rPh sb="29" eb="31">
      <t>ホウホウ</t>
    </rPh>
    <rPh sb="32" eb="34">
      <t>セツメイ</t>
    </rPh>
    <phoneticPr fontId="1"/>
  </si>
  <si>
    <t>　　比率が７：１２で、希望する確率の比率が１：２なので、このやり方では実際の入手率が、武器Ｃが２５％強、</t>
    <rPh sb="11" eb="13">
      <t>キボウ</t>
    </rPh>
    <rPh sb="50" eb="51">
      <t>キョウ</t>
    </rPh>
    <phoneticPr fontId="1"/>
  </si>
  <si>
    <t>　このようにNo.ごとの入力回数を調整することで、入手比率を調整することができるわけです。</t>
    <rPh sb="12" eb="14">
      <t>ニュウリョク</t>
    </rPh>
    <rPh sb="14" eb="16">
      <t>カイスウ</t>
    </rPh>
    <rPh sb="17" eb="19">
      <t>チョウセイ</t>
    </rPh>
    <rPh sb="25" eb="27">
      <t>ニュウシュ</t>
    </rPh>
    <rPh sb="27" eb="29">
      <t>ヒリツ</t>
    </rPh>
    <rPh sb="30" eb="32">
      <t>チョウセイ</t>
    </rPh>
    <phoneticPr fontId="1"/>
  </si>
  <si>
    <t>　なお武器と防具の比率が１：２なのは、１人当たりの装備可能数が武器は１つで防具は４つと防具が多く、</t>
    <rPh sb="3" eb="5">
      <t>ブキ</t>
    </rPh>
    <rPh sb="6" eb="8">
      <t>ボウグ</t>
    </rPh>
    <rPh sb="9" eb="11">
      <t>ヒリツ</t>
    </rPh>
    <rPh sb="20" eb="21">
      <t>ニン</t>
    </rPh>
    <rPh sb="21" eb="22">
      <t>ア</t>
    </rPh>
    <rPh sb="25" eb="27">
      <t>ソウビ</t>
    </rPh>
    <rPh sb="27" eb="29">
      <t>カノウ</t>
    </rPh>
    <rPh sb="29" eb="30">
      <t>スウ</t>
    </rPh>
    <rPh sb="31" eb="33">
      <t>ブキ</t>
    </rPh>
    <rPh sb="37" eb="39">
      <t>ボウグ</t>
    </rPh>
    <rPh sb="43" eb="45">
      <t>ボウグ</t>
    </rPh>
    <rPh sb="46" eb="47">
      <t>オオ</t>
    </rPh>
    <phoneticPr fontId="1"/>
  </si>
  <si>
    <t>ただ大量のデータを扱う場合には、エディタで直接作業するよりも、先にこのようなリストを作っておくと楽になるという意味で残しています。</t>
    <rPh sb="2" eb="4">
      <t>タイリョウ</t>
    </rPh>
    <rPh sb="9" eb="10">
      <t>アツカ</t>
    </rPh>
    <rPh sb="11" eb="13">
      <t>バアイ</t>
    </rPh>
    <rPh sb="21" eb="23">
      <t>チョクセツ</t>
    </rPh>
    <rPh sb="23" eb="25">
      <t>サギョウ</t>
    </rPh>
    <rPh sb="31" eb="32">
      <t>サキ</t>
    </rPh>
    <rPh sb="42" eb="43">
      <t>ツク</t>
    </rPh>
    <rPh sb="48" eb="49">
      <t>ラク</t>
    </rPh>
    <rPh sb="55" eb="57">
      <t>イミ</t>
    </rPh>
    <rPh sb="58" eb="59">
      <t>ノコ</t>
    </rPh>
    <phoneticPr fontId="1"/>
  </si>
  <si>
    <t>　このページは、メモとか計算結果の確認とかに使っていました。もっと色々な計算をしていたのですが、これを公開する予定はなかったので、</t>
    <rPh sb="12" eb="14">
      <t>ケイサン</t>
    </rPh>
    <rPh sb="14" eb="16">
      <t>ケッカ</t>
    </rPh>
    <rPh sb="17" eb="19">
      <t>カクニン</t>
    </rPh>
    <rPh sb="22" eb="23">
      <t>ツカ</t>
    </rPh>
    <rPh sb="33" eb="35">
      <t>イロイロ</t>
    </rPh>
    <rPh sb="36" eb="38">
      <t>ケイサン</t>
    </rPh>
    <rPh sb="51" eb="53">
      <t>コウカイ</t>
    </rPh>
    <rPh sb="55" eb="57">
      <t>ヨテイ</t>
    </rPh>
    <phoneticPr fontId="1"/>
  </si>
  <si>
    <t>使わなくなったものは邪魔になるので消してしまいました。</t>
    <rPh sb="0" eb="1">
      <t>ツカ</t>
    </rPh>
    <rPh sb="10" eb="12">
      <t>ジャマ</t>
    </rPh>
    <rPh sb="17" eb="18">
      <t>ケ</t>
    </rPh>
    <phoneticPr fontId="1"/>
  </si>
  <si>
    <t>　計算結果＝（敏捷×１０＋レベル）＾２．２５÷３００＋２５</t>
    <rPh sb="1" eb="3">
      <t>ケイサン</t>
    </rPh>
    <rPh sb="3" eb="5">
      <t>ケッカ</t>
    </rPh>
    <rPh sb="7" eb="9">
      <t>ビンショウ</t>
    </rPh>
    <phoneticPr fontId="1"/>
  </si>
  <si>
    <t>　ＡＣ、筋力、耐久、知力、敏捷、器用は、実際のゲームデータと同じです（ガーディアンとバードストライクの耐久のみ異なる）。</t>
    <rPh sb="4" eb="6">
      <t>キンリョク</t>
    </rPh>
    <rPh sb="7" eb="9">
      <t>タイキュウ</t>
    </rPh>
    <rPh sb="10" eb="12">
      <t>チリョク</t>
    </rPh>
    <rPh sb="13" eb="15">
      <t>ビンショウ</t>
    </rPh>
    <rPh sb="16" eb="18">
      <t>キヨウ</t>
    </rPh>
    <rPh sb="20" eb="22">
      <t>ジッサイ</t>
    </rPh>
    <rPh sb="30" eb="31">
      <t>オナ</t>
    </rPh>
    <rPh sb="51" eb="53">
      <t>タイキュウ</t>
    </rPh>
    <rPh sb="55" eb="56">
      <t>コト</t>
    </rPh>
    <phoneticPr fontId="1"/>
  </si>
  <si>
    <t>≪エディタのdefaultMessageの修正箇所≫</t>
    <rPh sb="21" eb="23">
      <t>シュウセイ</t>
    </rPh>
    <rPh sb="23" eb="25">
      <t>カショ</t>
    </rPh>
    <phoneticPr fontId="1"/>
  </si>
  <si>
    <t>≪defaultMessageの修正箇所≫</t>
    <rPh sb="16" eb="18">
      <t>シュウセイ</t>
    </rPh>
    <rPh sb="18" eb="20">
      <t>カショ</t>
    </rPh>
    <phoneticPr fontId="1"/>
  </si>
  <si>
    <t>　BOOTS = "指輪"</t>
    <rPh sb="10" eb="12">
      <t>ユビワ</t>
    </rPh>
    <phoneticPr fontId="1"/>
  </si>
  <si>
    <t>　ELECTRIC_ATTRIBUTE = "万能"</t>
    <rPh sb="23" eb="25">
      <t>バンノウ</t>
    </rPh>
    <phoneticPr fontId="1"/>
  </si>
  <si>
    <t>　GAUNTLETS = "靴"</t>
    <rPh sb="14" eb="15">
      <t>クツ</t>
    </rPh>
    <phoneticPr fontId="1"/>
  </si>
  <si>
    <t>　MARKS = "none"</t>
    <phoneticPr fontId="1"/>
  </si>
  <si>
    <t>　MYTH = "未使用"</t>
    <rPh sb="9" eb="12">
      <t>ミシヨウ</t>
    </rPh>
    <phoneticPr fontId="1"/>
  </si>
  <si>
    <t>　PRAY = "わしに任せておけ。キュアオール！"</t>
    <rPh sb="12" eb="13">
      <t>マカ</t>
    </rPh>
    <phoneticPr fontId="1"/>
  </si>
  <si>
    <t>　RIP = "none"</t>
    <phoneticPr fontId="1"/>
  </si>
  <si>
    <t>　SPRITE = "未使用"</t>
    <rPh sb="11" eb="14">
      <t>ミシヨウ</t>
    </rPh>
    <phoneticPr fontId="1"/>
  </si>
  <si>
    <t>　STAIRS_DOWN = "下り階段がある。&lt;br&gt;　　　---使いますか？"</t>
    <rPh sb="16" eb="17">
      <t>クダ</t>
    </rPh>
    <rPh sb="18" eb="20">
      <t>カイダン</t>
    </rPh>
    <phoneticPr fontId="1"/>
  </si>
  <si>
    <t>　STAIRS_UP = "上り階段がある。&lt;br&gt;　　　---使いますか？"</t>
    <rPh sb="14" eb="15">
      <t>ノボ</t>
    </rPh>
    <rPh sb="16" eb="18">
      <t>カイダン</t>
    </rPh>
    <phoneticPr fontId="1"/>
  </si>
  <si>
    <t>　THE_STABLES = "自宅で休養"</t>
    <rPh sb="16" eb="18">
      <t>ジタク</t>
    </rPh>
    <rPh sb="19" eb="21">
      <t>キュウヨウ</t>
    </rPh>
    <phoneticPr fontId="1"/>
  </si>
  <si>
    <t>　WHO_HELP = "誰を助けたいのじゃ？"</t>
    <phoneticPr fontId="1"/>
  </si>
  <si>
    <t>　ELECTRIC = "万能"</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</si>
</sst>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00%"/>
    <numFmt numFmtId="178" formatCode="0.0%"/>
    <numFmt numFmtId="179" formatCode="0.0_ "/>
  </numFmts>
  <fonts count="8"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0"/>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63">
    <xf numFmtId="0" fontId="0" fillId="0" borderId="0" xfId="0">
      <alignment vertical="center"/>
    </xf>
    <xf numFmtId="0" fontId="0" fillId="0" borderId="0" xfId="0" applyAlignment="1">
      <alignment horizontal="right" vertical="center"/>
    </xf>
    <xf numFmtId="49" fontId="0" fillId="0" borderId="0" xfId="0" applyNumberForma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176" fontId="0" fillId="0" borderId="0" xfId="0" applyNumberFormat="1">
      <alignment vertical="center"/>
    </xf>
    <xf numFmtId="0" fontId="0" fillId="0" borderId="0" xfId="0" applyFill="1" applyBorder="1">
      <alignment vertical="center"/>
    </xf>
    <xf numFmtId="0" fontId="0" fillId="0" borderId="7" xfId="0" applyFill="1" applyBorder="1">
      <alignment vertical="center"/>
    </xf>
    <xf numFmtId="0" fontId="0" fillId="0" borderId="10" xfId="0" applyBorder="1">
      <alignment vertical="center"/>
    </xf>
    <xf numFmtId="0" fontId="0" fillId="0" borderId="11" xfId="0" applyBorder="1">
      <alignment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right" vertical="center"/>
    </xf>
    <xf numFmtId="0" fontId="0" fillId="0" borderId="0" xfId="0" applyBorder="1" applyAlignment="1">
      <alignment vertical="center"/>
    </xf>
    <xf numFmtId="0" fontId="0" fillId="0" borderId="10" xfId="0" applyBorder="1" applyAlignment="1">
      <alignment horizontal="center" vertical="center"/>
    </xf>
    <xf numFmtId="49" fontId="0" fillId="0" borderId="10" xfId="0" applyNumberFormat="1" applyBorder="1" applyAlignment="1">
      <alignment vertical="center"/>
    </xf>
    <xf numFmtId="49" fontId="0" fillId="0" borderId="0" xfId="0" applyNumberFormat="1" applyBorder="1" applyAlignment="1">
      <alignment vertical="center"/>
    </xf>
    <xf numFmtId="0" fontId="0" fillId="0" borderId="12" xfId="0" applyBorder="1">
      <alignment vertical="center"/>
    </xf>
    <xf numFmtId="0" fontId="0" fillId="0" borderId="13" xfId="0" applyBorder="1">
      <alignment vertical="center"/>
    </xf>
    <xf numFmtId="176" fontId="0" fillId="0" borderId="10" xfId="0" applyNumberFormat="1" applyBorder="1">
      <alignment vertical="center"/>
    </xf>
    <xf numFmtId="0" fontId="2" fillId="0" borderId="10" xfId="0" applyFont="1" applyBorder="1" applyAlignment="1">
      <alignment horizontal="center" vertical="center"/>
    </xf>
    <xf numFmtId="0" fontId="3" fillId="0" borderId="10" xfId="0" applyFont="1" applyBorder="1" applyAlignment="1">
      <alignment horizontal="center" vertical="center"/>
    </xf>
    <xf numFmtId="0" fontId="0" fillId="0" borderId="0" xfId="0" applyFill="1" applyBorder="1" applyAlignment="1">
      <alignment vertical="center"/>
    </xf>
    <xf numFmtId="0" fontId="0" fillId="0" borderId="12" xfId="0" applyBorder="1" applyAlignment="1">
      <alignment horizontal="center" vertical="center"/>
    </xf>
    <xf numFmtId="9" fontId="0" fillId="0" borderId="10" xfId="0" applyNumberFormat="1" applyBorder="1">
      <alignment vertical="center"/>
    </xf>
    <xf numFmtId="177" fontId="0" fillId="0" borderId="0" xfId="0" applyNumberFormat="1" applyBorder="1">
      <alignment vertical="center"/>
    </xf>
    <xf numFmtId="9" fontId="0" fillId="0" borderId="0" xfId="0" applyNumberFormat="1" applyBorder="1">
      <alignment vertical="center"/>
    </xf>
    <xf numFmtId="10" fontId="0" fillId="0" borderId="10" xfId="0" applyNumberFormat="1" applyBorder="1">
      <alignment vertical="center"/>
    </xf>
    <xf numFmtId="10" fontId="0" fillId="0" borderId="12" xfId="0" applyNumberFormat="1" applyBorder="1">
      <alignment vertical="center"/>
    </xf>
    <xf numFmtId="10" fontId="0" fillId="0" borderId="11" xfId="0" applyNumberFormat="1" applyBorder="1">
      <alignment vertical="center"/>
    </xf>
    <xf numFmtId="10" fontId="0" fillId="0" borderId="13" xfId="0" applyNumberFormat="1" applyBorder="1">
      <alignment vertical="center"/>
    </xf>
    <xf numFmtId="178" fontId="0" fillId="0" borderId="12" xfId="0" applyNumberFormat="1" applyBorder="1">
      <alignment vertical="center"/>
    </xf>
    <xf numFmtId="178" fontId="0" fillId="0" borderId="11" xfId="0" applyNumberFormat="1" applyBorder="1">
      <alignment vertical="center"/>
    </xf>
    <xf numFmtId="178" fontId="0" fillId="0" borderId="13" xfId="0" applyNumberFormat="1" applyBorder="1">
      <alignment vertical="center"/>
    </xf>
    <xf numFmtId="178" fontId="0" fillId="0" borderId="13" xfId="0" applyNumberFormat="1" applyFill="1" applyBorder="1">
      <alignment vertical="center"/>
    </xf>
    <xf numFmtId="0" fontId="3" fillId="0" borderId="0" xfId="0" applyFont="1" applyBorder="1" applyAlignment="1">
      <alignment horizontal="center" vertical="center"/>
    </xf>
    <xf numFmtId="0" fontId="0" fillId="0" borderId="0" xfId="0" applyBorder="1" applyAlignment="1">
      <alignment horizontal="right" vertical="center"/>
    </xf>
    <xf numFmtId="49" fontId="0" fillId="0" borderId="0" xfId="0" applyNumberFormat="1" applyBorder="1">
      <alignment vertical="center"/>
    </xf>
    <xf numFmtId="0" fontId="4" fillId="0" borderId="0" xfId="0" applyFont="1" applyAlignment="1">
      <alignment horizontal="center" vertical="center"/>
    </xf>
    <xf numFmtId="179" fontId="0" fillId="0" borderId="0" xfId="0" applyNumberFormat="1">
      <alignment vertical="center"/>
    </xf>
    <xf numFmtId="0" fontId="3" fillId="0" borderId="10" xfId="0" applyFont="1" applyBorder="1">
      <alignment vertical="center"/>
    </xf>
    <xf numFmtId="0" fontId="2" fillId="0" borderId="10" xfId="0" applyFont="1" applyBorder="1">
      <alignment vertical="center"/>
    </xf>
    <xf numFmtId="0" fontId="0" fillId="0" borderId="14" xfId="0" applyBorder="1">
      <alignment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0" xfId="0" applyNumberFormat="1">
      <alignment vertical="center"/>
    </xf>
    <xf numFmtId="0" fontId="0" fillId="0" borderId="10" xfId="0" applyBorder="1" applyAlignment="1">
      <alignment horizontal="center" vertical="center"/>
    </xf>
    <xf numFmtId="0" fontId="6" fillId="0" borderId="6" xfId="0" applyFont="1" applyBorder="1">
      <alignment vertical="center"/>
    </xf>
    <xf numFmtId="178" fontId="7" fillId="0" borderId="11" xfId="0" applyNumberFormat="1" applyFont="1" applyBorder="1">
      <alignment vertical="center"/>
    </xf>
    <xf numFmtId="0" fontId="7" fillId="0" borderId="7" xfId="0" applyFont="1" applyBorder="1">
      <alignment vertical="center"/>
    </xf>
    <xf numFmtId="10" fontId="7" fillId="0" borderId="11" xfId="0" applyNumberFormat="1" applyFont="1" applyBorder="1">
      <alignment vertical="center"/>
    </xf>
    <xf numFmtId="0" fontId="6" fillId="0" borderId="0" xfId="0" applyFont="1" applyBorder="1">
      <alignment vertical="center"/>
    </xf>
    <xf numFmtId="0" fontId="0" fillId="0" borderId="10" xfId="0" applyBorder="1" applyAlignment="1">
      <alignment horizontal="center" vertical="center"/>
    </xf>
    <xf numFmtId="0" fontId="0" fillId="0" borderId="10" xfId="0" applyFont="1" applyBorder="1" applyAlignment="1">
      <alignment horizontal="center" vertical="center"/>
    </xf>
    <xf numFmtId="0" fontId="5" fillId="0" borderId="10"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abSelected="1" workbookViewId="0"/>
  </sheetViews>
  <sheetFormatPr defaultRowHeight="13.5" x14ac:dyDescent="0.15"/>
  <cols>
    <col min="1" max="1" width="9" customWidth="1"/>
    <col min="9" max="12" width="10.75" customWidth="1"/>
  </cols>
  <sheetData>
    <row r="1" spans="1:12" x14ac:dyDescent="0.15">
      <c r="A1" t="s">
        <v>807</v>
      </c>
    </row>
    <row r="2" spans="1:12" x14ac:dyDescent="0.15">
      <c r="A2" t="s">
        <v>808</v>
      </c>
    </row>
    <row r="5" spans="1:12" x14ac:dyDescent="0.15">
      <c r="A5" t="s">
        <v>601</v>
      </c>
      <c r="I5" t="s">
        <v>602</v>
      </c>
    </row>
    <row r="6" spans="1:12" x14ac:dyDescent="0.15">
      <c r="A6" t="s">
        <v>79</v>
      </c>
      <c r="I6" t="s">
        <v>705</v>
      </c>
    </row>
    <row r="7" spans="1:12" x14ac:dyDescent="0.15">
      <c r="B7" t="s">
        <v>0</v>
      </c>
      <c r="C7" t="s">
        <v>1</v>
      </c>
      <c r="D7" t="s">
        <v>82</v>
      </c>
      <c r="E7" t="s">
        <v>2</v>
      </c>
      <c r="F7" t="s">
        <v>3</v>
      </c>
      <c r="G7" t="s">
        <v>9</v>
      </c>
      <c r="I7" t="s">
        <v>706</v>
      </c>
    </row>
    <row r="8" spans="1:12" x14ac:dyDescent="0.15">
      <c r="A8" t="s">
        <v>5</v>
      </c>
      <c r="B8">
        <v>9</v>
      </c>
      <c r="C8">
        <v>9</v>
      </c>
      <c r="D8">
        <v>5</v>
      </c>
      <c r="E8">
        <v>5</v>
      </c>
      <c r="F8">
        <v>7</v>
      </c>
      <c r="G8">
        <f>SUM(B8:F8)</f>
        <v>35</v>
      </c>
      <c r="I8" t="s">
        <v>707</v>
      </c>
    </row>
    <row r="9" spans="1:12" x14ac:dyDescent="0.15">
      <c r="A9" t="s">
        <v>8</v>
      </c>
      <c r="B9">
        <v>8</v>
      </c>
      <c r="C9">
        <v>8</v>
      </c>
      <c r="D9">
        <v>6</v>
      </c>
      <c r="E9">
        <v>7</v>
      </c>
      <c r="F9">
        <v>6</v>
      </c>
      <c r="G9">
        <f>SUM(B9:F9)</f>
        <v>35</v>
      </c>
      <c r="I9" t="s">
        <v>708</v>
      </c>
    </row>
    <row r="10" spans="1:12" x14ac:dyDescent="0.15">
      <c r="A10" t="s">
        <v>4</v>
      </c>
      <c r="B10">
        <v>6</v>
      </c>
      <c r="C10">
        <v>7</v>
      </c>
      <c r="D10">
        <v>8</v>
      </c>
      <c r="E10">
        <v>5</v>
      </c>
      <c r="F10">
        <v>9</v>
      </c>
      <c r="G10">
        <f>SUM(B10:F10)</f>
        <v>35</v>
      </c>
      <c r="I10" s="22" t="s">
        <v>556</v>
      </c>
      <c r="J10" s="22" t="s">
        <v>557</v>
      </c>
      <c r="K10" s="22" t="s">
        <v>558</v>
      </c>
      <c r="L10" s="28" t="s">
        <v>559</v>
      </c>
    </row>
    <row r="11" spans="1:12" x14ac:dyDescent="0.15">
      <c r="A11" t="s">
        <v>6</v>
      </c>
      <c r="B11">
        <v>5</v>
      </c>
      <c r="C11">
        <v>5</v>
      </c>
      <c r="D11">
        <v>9</v>
      </c>
      <c r="E11">
        <v>8</v>
      </c>
      <c r="F11">
        <v>8</v>
      </c>
      <c r="G11">
        <f t="shared" ref="G11:G13" si="0">SUM(B11:F11)</f>
        <v>35</v>
      </c>
      <c r="I11" s="16">
        <v>200</v>
      </c>
      <c r="J11" s="27">
        <f>(I11-50)^0.7*2.7+50</f>
        <v>140.07984816905224</v>
      </c>
      <c r="K11" s="27">
        <f>($I11-50)^0.65*2.8+50</f>
        <v>122.71388512137406</v>
      </c>
      <c r="L11" s="27">
        <f>($I11-50)^0.55*3.2+50</f>
        <v>100.35008068060506</v>
      </c>
    </row>
    <row r="12" spans="1:12" x14ac:dyDescent="0.15">
      <c r="A12" t="s">
        <v>10</v>
      </c>
      <c r="B12">
        <v>7</v>
      </c>
      <c r="C12">
        <v>8</v>
      </c>
      <c r="D12">
        <v>7</v>
      </c>
      <c r="E12">
        <v>7</v>
      </c>
      <c r="F12">
        <v>6</v>
      </c>
      <c r="G12">
        <f>SUM(B12:F12)</f>
        <v>35</v>
      </c>
      <c r="I12" s="16">
        <v>190</v>
      </c>
      <c r="J12" s="27">
        <f t="shared" ref="J12:J26" si="1">(I12-50)^0.7*2.7+50</f>
        <v>135.83282154512148</v>
      </c>
      <c r="K12" s="27">
        <f t="shared" ref="K12:K26" si="2">($I12-50)^0.65*2.8+50</f>
        <v>119.5250411419299</v>
      </c>
      <c r="L12" s="27">
        <f t="shared" ref="L12:L26" si="3">($I12-50)^0.55*3.2+50</f>
        <v>98.475287996263717</v>
      </c>
    </row>
    <row r="13" spans="1:12" x14ac:dyDescent="0.15">
      <c r="A13" t="s">
        <v>7</v>
      </c>
      <c r="B13">
        <v>5</v>
      </c>
      <c r="C13">
        <v>7</v>
      </c>
      <c r="D13">
        <v>6</v>
      </c>
      <c r="E13">
        <v>9</v>
      </c>
      <c r="F13">
        <v>8</v>
      </c>
      <c r="G13">
        <f t="shared" si="0"/>
        <v>35</v>
      </c>
      <c r="I13" s="16">
        <v>180</v>
      </c>
      <c r="J13" s="27">
        <f t="shared" si="1"/>
        <v>131.49371399114256</v>
      </c>
      <c r="K13" s="27">
        <f t="shared" si="2"/>
        <v>116.25538933279573</v>
      </c>
      <c r="L13" s="27">
        <f t="shared" si="3"/>
        <v>96.539190196250644</v>
      </c>
    </row>
    <row r="14" spans="1:12" x14ac:dyDescent="0.15">
      <c r="I14" s="16">
        <v>170</v>
      </c>
      <c r="J14" s="27">
        <f t="shared" si="1"/>
        <v>127.0531923394428</v>
      </c>
      <c r="K14" s="27">
        <f t="shared" si="2"/>
        <v>112.89640764979376</v>
      </c>
      <c r="L14" s="27">
        <f t="shared" si="3"/>
        <v>94.534816135493173</v>
      </c>
    </row>
    <row r="15" spans="1:12" x14ac:dyDescent="0.15">
      <c r="I15" s="16">
        <v>160</v>
      </c>
      <c r="J15" s="27">
        <f t="shared" si="1"/>
        <v>122.50010637239312</v>
      </c>
      <c r="K15" s="27">
        <f t="shared" si="2"/>
        <v>109.43787532763689</v>
      </c>
      <c r="L15" s="27">
        <f t="shared" si="3"/>
        <v>92.453739934778241</v>
      </c>
    </row>
    <row r="16" spans="1:12" x14ac:dyDescent="0.15">
      <c r="I16" s="16">
        <v>150</v>
      </c>
      <c r="J16" s="27">
        <f t="shared" si="1"/>
        <v>117.82093365075866</v>
      </c>
      <c r="K16" s="27">
        <f t="shared" si="2"/>
        <v>105.86734481912865</v>
      </c>
      <c r="L16" s="27">
        <f t="shared" si="3"/>
        <v>90.285613177413381</v>
      </c>
    </row>
    <row r="17" spans="1:12" x14ac:dyDescent="0.15">
      <c r="A17" t="s">
        <v>603</v>
      </c>
      <c r="I17" s="16">
        <v>140</v>
      </c>
      <c r="J17" s="27">
        <f t="shared" si="1"/>
        <v>112.99898040679662</v>
      </c>
      <c r="K17" s="27">
        <f>($I17-50)^0.65*2.8+50</f>
        <v>102.16937844309862</v>
      </c>
      <c r="L17" s="27">
        <f>($I17-50)^0.55*3.2+50</f>
        <v>88.01748283338614</v>
      </c>
    </row>
    <row r="18" spans="1:12" x14ac:dyDescent="0.15">
      <c r="A18" t="s">
        <v>809</v>
      </c>
      <c r="I18" s="16">
        <v>130</v>
      </c>
      <c r="J18" s="27">
        <f t="shared" si="1"/>
        <v>108.01319109047826</v>
      </c>
      <c r="K18" s="27">
        <f>($I18-50)^0.65*2.8+50</f>
        <v>98.324405829645585</v>
      </c>
      <c r="L18" s="27">
        <f>($I18-50)^0.55*3.2+50</f>
        <v>85.632760692929722</v>
      </c>
    </row>
    <row r="19" spans="1:12" x14ac:dyDescent="0.15">
      <c r="A19" t="s">
        <v>613</v>
      </c>
      <c r="I19" s="16">
        <v>120</v>
      </c>
      <c r="J19" s="27">
        <f t="shared" si="1"/>
        <v>102.83629936345378</v>
      </c>
      <c r="K19" s="27">
        <f>($I19-50)^0.65*2.8+50</f>
        <v>94.306940026127876</v>
      </c>
      <c r="L19" s="27">
        <f>($I19-50)^0.55*3.2+50</f>
        <v>83.1095974303297</v>
      </c>
    </row>
    <row r="20" spans="1:12" x14ac:dyDescent="0.15">
      <c r="A20" t="s">
        <v>709</v>
      </c>
      <c r="I20" s="16">
        <v>110</v>
      </c>
      <c r="J20" s="27">
        <f t="shared" si="1"/>
        <v>97.43180363954815</v>
      </c>
      <c r="K20" s="27">
        <f>($I20-50)^0.65*2.8+50</f>
        <v>90.082642395124594</v>
      </c>
      <c r="L20" s="27">
        <f>($I20-50)^0.55*3.2+50</f>
        <v>80.418175834119452</v>
      </c>
    </row>
    <row r="21" spans="1:12" x14ac:dyDescent="0.15">
      <c r="I21" s="16">
        <v>100</v>
      </c>
      <c r="J21" s="27">
        <f t="shared" si="1"/>
        <v>91.748681785983877</v>
      </c>
      <c r="K21" s="27">
        <f>($I21-50)^0.65*2.8+50</f>
        <v>85.603159029665051</v>
      </c>
      <c r="L21" s="27">
        <f>($I21-50)^0.55*3.2+50</f>
        <v>77.515884684191008</v>
      </c>
    </row>
    <row r="22" spans="1:12" x14ac:dyDescent="0.15">
      <c r="A22" s="61" t="s">
        <v>604</v>
      </c>
      <c r="B22" s="62"/>
      <c r="C22" s="22" t="s">
        <v>605</v>
      </c>
      <c r="D22" s="22" t="s">
        <v>612</v>
      </c>
      <c r="I22" s="16">
        <v>90</v>
      </c>
      <c r="J22" s="27">
        <f t="shared" si="1"/>
        <v>85.711308055676682</v>
      </c>
      <c r="K22" s="27">
        <f t="shared" si="2"/>
        <v>80.796192504531859</v>
      </c>
      <c r="L22" s="27">
        <f t="shared" si="3"/>
        <v>74.337892782918829</v>
      </c>
    </row>
    <row r="23" spans="1:12" x14ac:dyDescent="0.15">
      <c r="A23" s="60">
        <v>20</v>
      </c>
      <c r="B23" s="60"/>
      <c r="C23" s="27">
        <f>A23^2.25/300+25</f>
        <v>27.819656702508169</v>
      </c>
      <c r="D23" s="16"/>
      <c r="I23" s="16">
        <v>80</v>
      </c>
      <c r="J23" s="27">
        <f t="shared" si="1"/>
        <v>79.197700032851401</v>
      </c>
      <c r="K23" s="27">
        <f t="shared" si="2"/>
        <v>75.543878917871837</v>
      </c>
      <c r="L23" s="27">
        <f t="shared" si="3"/>
        <v>70.776226363220445</v>
      </c>
    </row>
    <row r="24" spans="1:12" x14ac:dyDescent="0.15">
      <c r="A24" s="60">
        <v>30</v>
      </c>
      <c r="B24" s="60"/>
      <c r="C24" s="27">
        <f t="shared" ref="C24:C37" si="4">A24^2.25/300+25</f>
        <v>32.021041957962147</v>
      </c>
      <c r="D24" s="16"/>
      <c r="I24" s="16">
        <v>70</v>
      </c>
      <c r="J24" s="27">
        <f t="shared" si="1"/>
        <v>71.982888702992824</v>
      </c>
      <c r="K24" s="27">
        <f t="shared" si="2"/>
        <v>69.625807218810436</v>
      </c>
      <c r="L24" s="27">
        <f t="shared" si="3"/>
        <v>66.623270653019688</v>
      </c>
    </row>
    <row r="25" spans="1:12" x14ac:dyDescent="0.15">
      <c r="A25" s="60">
        <v>40</v>
      </c>
      <c r="B25" s="60"/>
      <c r="C25" s="27">
        <f t="shared" si="4"/>
        <v>38.412623249951302</v>
      </c>
      <c r="D25" s="16"/>
      <c r="I25" s="16">
        <v>60</v>
      </c>
      <c r="J25" s="27">
        <f t="shared" si="1"/>
        <v>63.532055307936353</v>
      </c>
      <c r="K25" s="27">
        <f t="shared" si="2"/>
        <v>62.507140580226967</v>
      </c>
      <c r="L25" s="27">
        <f t="shared" si="3"/>
        <v>61.35402845547442</v>
      </c>
    </row>
    <row r="26" spans="1:12" x14ac:dyDescent="0.15">
      <c r="A26" s="60">
        <v>50</v>
      </c>
      <c r="B26" s="60"/>
      <c r="C26" s="27">
        <f t="shared" si="4"/>
        <v>47.159566237270766</v>
      </c>
      <c r="D26" s="16"/>
      <c r="I26" s="16">
        <v>50</v>
      </c>
      <c r="J26" s="27">
        <f t="shared" si="1"/>
        <v>50</v>
      </c>
      <c r="K26" s="27">
        <f t="shared" si="2"/>
        <v>50</v>
      </c>
      <c r="L26" s="27">
        <f t="shared" si="3"/>
        <v>50</v>
      </c>
    </row>
    <row r="27" spans="1:12" x14ac:dyDescent="0.15">
      <c r="A27" s="60">
        <v>60</v>
      </c>
      <c r="B27" s="60"/>
      <c r="C27" s="27">
        <f t="shared" si="4"/>
        <v>58.397892204564847</v>
      </c>
      <c r="D27" s="16"/>
      <c r="I27" s="16">
        <v>40</v>
      </c>
      <c r="J27" s="27">
        <f>100-J25</f>
        <v>36.467944692063647</v>
      </c>
      <c r="K27" s="27">
        <f t="shared" ref="K27:L27" si="5">100-K25</f>
        <v>37.492859419773033</v>
      </c>
      <c r="L27" s="27">
        <f t="shared" si="5"/>
        <v>38.64597154452558</v>
      </c>
    </row>
    <row r="28" spans="1:12" x14ac:dyDescent="0.15">
      <c r="A28" s="60">
        <v>70</v>
      </c>
      <c r="B28" s="60"/>
      <c r="C28" s="27">
        <f t="shared" si="4"/>
        <v>72.244290939144975</v>
      </c>
      <c r="D28" s="16"/>
      <c r="I28" s="16">
        <v>30</v>
      </c>
      <c r="J28" s="27">
        <f>100-J24</f>
        <v>28.017111297007176</v>
      </c>
      <c r="K28" s="27">
        <f t="shared" ref="K28:L28" si="6">100-K24</f>
        <v>30.374192781189564</v>
      </c>
      <c r="L28" s="27">
        <f t="shared" si="6"/>
        <v>33.376729346980312</v>
      </c>
    </row>
    <row r="29" spans="1:12" x14ac:dyDescent="0.15">
      <c r="A29" s="60">
        <v>80</v>
      </c>
      <c r="B29" s="60"/>
      <c r="C29" s="27">
        <f t="shared" si="4"/>
        <v>88.801547998771966</v>
      </c>
      <c r="D29" s="16"/>
      <c r="I29" s="16">
        <v>20</v>
      </c>
      <c r="J29" s="27">
        <f>100-J23</f>
        <v>20.802299967148599</v>
      </c>
      <c r="K29" s="27">
        <f t="shared" ref="K29:L29" si="7">100-K23</f>
        <v>24.456121082128163</v>
      </c>
      <c r="L29" s="27">
        <f t="shared" si="7"/>
        <v>29.223773636779555</v>
      </c>
    </row>
    <row r="30" spans="1:12" x14ac:dyDescent="0.15">
      <c r="A30" s="60">
        <v>90</v>
      </c>
      <c r="B30" s="60"/>
      <c r="C30" s="27">
        <f t="shared" si="4"/>
        <v>108.16189778250761</v>
      </c>
      <c r="D30" s="16"/>
      <c r="I30" s="16">
        <v>10</v>
      </c>
      <c r="J30" s="27">
        <f>100-J22</f>
        <v>14.288691944323318</v>
      </c>
      <c r="K30" s="27">
        <f t="shared" ref="K30:L30" si="8">100-K22</f>
        <v>19.203807495468141</v>
      </c>
      <c r="L30" s="27">
        <f t="shared" si="8"/>
        <v>25.662107217081171</v>
      </c>
    </row>
    <row r="31" spans="1:12" x14ac:dyDescent="0.15">
      <c r="A31" s="60">
        <v>100</v>
      </c>
      <c r="B31" s="60"/>
      <c r="C31" s="27">
        <f t="shared" si="4"/>
        <v>130.40925533894614</v>
      </c>
      <c r="D31" s="16"/>
      <c r="I31" s="16">
        <v>0</v>
      </c>
      <c r="J31" s="27">
        <f>100-J21</f>
        <v>8.2513182140161234</v>
      </c>
      <c r="K31" s="27">
        <f t="shared" ref="K31:L31" si="9">100-K21</f>
        <v>14.396840970334949</v>
      </c>
      <c r="L31" s="27">
        <f t="shared" si="9"/>
        <v>22.484115315808992</v>
      </c>
    </row>
    <row r="32" spans="1:12" x14ac:dyDescent="0.15">
      <c r="A32" s="60">
        <v>110</v>
      </c>
      <c r="B32" s="60"/>
      <c r="C32" s="27">
        <f t="shared" si="4"/>
        <v>155.62078423206285</v>
      </c>
      <c r="D32" s="16"/>
      <c r="I32" s="16">
        <v>-10</v>
      </c>
      <c r="J32" s="27">
        <f>100-J20</f>
        <v>2.5681963604518501</v>
      </c>
      <c r="K32" s="27">
        <f t="shared" ref="K32:L32" si="10">100-K20</f>
        <v>9.9173576048754057</v>
      </c>
      <c r="L32" s="27">
        <f t="shared" si="10"/>
        <v>19.581824165880548</v>
      </c>
    </row>
    <row r="33" spans="1:12" x14ac:dyDescent="0.15">
      <c r="A33" s="60">
        <v>120</v>
      </c>
      <c r="B33" s="60"/>
      <c r="C33" s="27">
        <f t="shared" si="4"/>
        <v>183.86804414304979</v>
      </c>
      <c r="D33" s="16"/>
      <c r="I33" s="16">
        <v>-20</v>
      </c>
      <c r="J33" s="27">
        <f>100-J19</f>
        <v>-2.8362993634537759</v>
      </c>
      <c r="K33" s="27">
        <f t="shared" ref="K33:L33" si="11">100-K19</f>
        <v>5.6930599738721241</v>
      </c>
      <c r="L33" s="27">
        <f t="shared" si="11"/>
        <v>16.8904025696703</v>
      </c>
    </row>
    <row r="34" spans="1:12" x14ac:dyDescent="0.15">
      <c r="A34" s="60">
        <v>130</v>
      </c>
      <c r="B34" s="60"/>
      <c r="C34" s="27">
        <f t="shared" si="4"/>
        <v>215.21785848003162</v>
      </c>
      <c r="D34" s="16"/>
      <c r="I34" s="16">
        <v>-30</v>
      </c>
      <c r="J34" s="27">
        <f>100-J18</f>
        <v>-8.0131910904782586</v>
      </c>
      <c r="K34" s="27">
        <f t="shared" ref="K34:L34" si="12">100-K18</f>
        <v>1.6755941703544153</v>
      </c>
      <c r="L34" s="27">
        <f t="shared" si="12"/>
        <v>14.367239307070278</v>
      </c>
    </row>
    <row r="35" spans="1:12" x14ac:dyDescent="0.15">
      <c r="A35" s="60">
        <v>140</v>
      </c>
      <c r="B35" s="60"/>
      <c r="C35" s="27">
        <f t="shared" si="4"/>
        <v>249.73298771235889</v>
      </c>
      <c r="D35" s="16"/>
      <c r="I35" s="16">
        <v>-40</v>
      </c>
      <c r="J35" s="27">
        <f>100-J17</f>
        <v>-12.998980406796619</v>
      </c>
      <c r="K35" s="27">
        <f t="shared" ref="K35:L35" si="13">100-K17</f>
        <v>-2.1693784430986227</v>
      </c>
      <c r="L35" s="27">
        <f t="shared" si="13"/>
        <v>11.98251716661386</v>
      </c>
    </row>
    <row r="36" spans="1:12" x14ac:dyDescent="0.15">
      <c r="A36" s="60">
        <v>150</v>
      </c>
      <c r="B36" s="60"/>
      <c r="C36" s="27">
        <f t="shared" si="4"/>
        <v>287.47266336854346</v>
      </c>
      <c r="D36" s="16" t="s">
        <v>593</v>
      </c>
      <c r="I36" s="16">
        <v>-50</v>
      </c>
      <c r="J36" s="27">
        <f>100-J16</f>
        <v>-17.820933650758661</v>
      </c>
      <c r="K36" s="27">
        <f t="shared" ref="K36:L36" si="14">100-K16</f>
        <v>-5.8673448191286468</v>
      </c>
      <c r="L36" s="27">
        <f t="shared" si="14"/>
        <v>9.7143868225866186</v>
      </c>
    </row>
    <row r="37" spans="1:12" x14ac:dyDescent="0.15">
      <c r="A37" s="60">
        <v>160</v>
      </c>
      <c r="B37" s="60"/>
      <c r="C37" s="27">
        <f t="shared" si="4"/>
        <v>328.49301931330916</v>
      </c>
      <c r="D37" s="16" t="s">
        <v>592</v>
      </c>
      <c r="I37" s="16">
        <v>-60</v>
      </c>
      <c r="J37" s="27">
        <f>100-J15</f>
        <v>-22.50010637239312</v>
      </c>
      <c r="K37" s="27">
        <f t="shared" ref="K37:L37" si="15">100-K15</f>
        <v>-9.4378753276368883</v>
      </c>
      <c r="L37" s="27">
        <f t="shared" si="15"/>
        <v>7.5462600652217589</v>
      </c>
    </row>
    <row r="38" spans="1:12" x14ac:dyDescent="0.15">
      <c r="I38" s="16">
        <v>-70</v>
      </c>
      <c r="J38" s="27">
        <f>100-J14</f>
        <v>-27.053192339442802</v>
      </c>
      <c r="K38" s="27">
        <f t="shared" ref="K38:L38" si="16">100-K14</f>
        <v>-12.896407649793758</v>
      </c>
      <c r="L38" s="27">
        <f t="shared" si="16"/>
        <v>5.4651838645068267</v>
      </c>
    </row>
    <row r="39" spans="1:12" x14ac:dyDescent="0.15">
      <c r="I39" s="16">
        <v>-80</v>
      </c>
      <c r="J39" s="27">
        <f>100-J13</f>
        <v>-31.493713991142556</v>
      </c>
      <c r="K39" s="27">
        <f t="shared" ref="K39:L39" si="17">100-K13</f>
        <v>-16.25538933279573</v>
      </c>
      <c r="L39" s="27">
        <f t="shared" si="17"/>
        <v>3.4608098037493562</v>
      </c>
    </row>
    <row r="40" spans="1:12" x14ac:dyDescent="0.15">
      <c r="A40" t="s">
        <v>812</v>
      </c>
      <c r="I40" s="16">
        <v>-90</v>
      </c>
      <c r="J40" s="27">
        <f>100-J12</f>
        <v>-35.832821545121476</v>
      </c>
      <c r="K40" s="27">
        <f t="shared" ref="K40:L40" si="18">100-K12</f>
        <v>-19.525041141929904</v>
      </c>
      <c r="L40" s="27">
        <f t="shared" si="18"/>
        <v>1.5247120037362834</v>
      </c>
    </row>
    <row r="41" spans="1:12" x14ac:dyDescent="0.15">
      <c r="A41" t="s">
        <v>813</v>
      </c>
      <c r="I41" s="16">
        <v>-100</v>
      </c>
      <c r="J41" s="27">
        <f>100-J11</f>
        <v>-40.079848169052241</v>
      </c>
      <c r="K41" s="27">
        <f t="shared" ref="K41:L41" si="19">100-K11</f>
        <v>-22.713885121374062</v>
      </c>
      <c r="L41" s="27">
        <f t="shared" si="19"/>
        <v>-0.35008068060506048</v>
      </c>
    </row>
    <row r="42" spans="1:12" x14ac:dyDescent="0.15">
      <c r="A42" t="s">
        <v>814</v>
      </c>
      <c r="J42" s="13"/>
      <c r="K42" s="13"/>
      <c r="L42" s="13"/>
    </row>
    <row r="43" spans="1:12" x14ac:dyDescent="0.15">
      <c r="A43" t="s">
        <v>815</v>
      </c>
    </row>
    <row r="44" spans="1:12" x14ac:dyDescent="0.15">
      <c r="A44" t="s">
        <v>816</v>
      </c>
    </row>
    <row r="45" spans="1:12" x14ac:dyDescent="0.15">
      <c r="A45" t="s">
        <v>817</v>
      </c>
    </row>
    <row r="46" spans="1:12" x14ac:dyDescent="0.15">
      <c r="A46" t="s">
        <v>818</v>
      </c>
    </row>
    <row r="47" spans="1:12" x14ac:dyDescent="0.15">
      <c r="A47" t="s">
        <v>819</v>
      </c>
    </row>
    <row r="48" spans="1:12" x14ac:dyDescent="0.15">
      <c r="A48" t="s">
        <v>820</v>
      </c>
    </row>
    <row r="49" spans="1:1" x14ac:dyDescent="0.15">
      <c r="A49" t="s">
        <v>821</v>
      </c>
    </row>
    <row r="50" spans="1:1" x14ac:dyDescent="0.15">
      <c r="A50" t="s">
        <v>822</v>
      </c>
    </row>
    <row r="51" spans="1:1" x14ac:dyDescent="0.15">
      <c r="A51" t="s">
        <v>823</v>
      </c>
    </row>
    <row r="52" spans="1:1" x14ac:dyDescent="0.15">
      <c r="A52" t="s">
        <v>824</v>
      </c>
    </row>
    <row r="55" spans="1:1" x14ac:dyDescent="0.15">
      <c r="A55" t="s">
        <v>811</v>
      </c>
    </row>
    <row r="56" spans="1:1" x14ac:dyDescent="0.15">
      <c r="A56" t="s">
        <v>813</v>
      </c>
    </row>
    <row r="57" spans="1:1" x14ac:dyDescent="0.15">
      <c r="A57" t="s">
        <v>825</v>
      </c>
    </row>
    <row r="58" spans="1:1" x14ac:dyDescent="0.15">
      <c r="A58" t="s">
        <v>815</v>
      </c>
    </row>
    <row r="59" spans="1:1" x14ac:dyDescent="0.15">
      <c r="A59" t="s">
        <v>817</v>
      </c>
    </row>
    <row r="60" spans="1:1" x14ac:dyDescent="0.15">
      <c r="A60" t="s">
        <v>820</v>
      </c>
    </row>
  </sheetData>
  <mergeCells count="16">
    <mergeCell ref="A25:B25"/>
    <mergeCell ref="A22:B22"/>
    <mergeCell ref="A23:B23"/>
    <mergeCell ref="A24:B24"/>
    <mergeCell ref="A37:B37"/>
    <mergeCell ref="A36:B36"/>
    <mergeCell ref="A35:B35"/>
    <mergeCell ref="A34:B34"/>
    <mergeCell ref="A33:B33"/>
    <mergeCell ref="A32:B32"/>
    <mergeCell ref="A31:B31"/>
    <mergeCell ref="A30:B30"/>
    <mergeCell ref="A29:B29"/>
    <mergeCell ref="A28:B28"/>
    <mergeCell ref="A27:B27"/>
    <mergeCell ref="A26:B2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zoomScaleNormal="100" workbookViewId="0">
      <selection activeCell="D8" sqref="D8"/>
    </sheetView>
  </sheetViews>
  <sheetFormatPr defaultRowHeight="13.5" x14ac:dyDescent="0.15"/>
  <cols>
    <col min="1" max="1" width="12.625" customWidth="1"/>
    <col min="2" max="8" width="15.625" customWidth="1"/>
  </cols>
  <sheetData>
    <row r="1" spans="1:7" x14ac:dyDescent="0.15">
      <c r="A1" t="s">
        <v>606</v>
      </c>
    </row>
    <row r="2" spans="1:7" x14ac:dyDescent="0.15">
      <c r="A2" t="s">
        <v>806</v>
      </c>
    </row>
    <row r="5" spans="1:7" x14ac:dyDescent="0.15">
      <c r="B5" t="s">
        <v>524</v>
      </c>
      <c r="C5" t="s">
        <v>596</v>
      </c>
      <c r="D5" t="s">
        <v>597</v>
      </c>
      <c r="E5" t="s">
        <v>598</v>
      </c>
      <c r="F5" t="s">
        <v>599</v>
      </c>
      <c r="G5" t="s">
        <v>600</v>
      </c>
    </row>
    <row r="6" spans="1:7" x14ac:dyDescent="0.15">
      <c r="A6" t="s">
        <v>15</v>
      </c>
    </row>
    <row r="7" spans="1:7" x14ac:dyDescent="0.15">
      <c r="A7" t="s">
        <v>16</v>
      </c>
      <c r="B7" t="s">
        <v>34</v>
      </c>
      <c r="C7" t="s">
        <v>138</v>
      </c>
      <c r="D7" t="s">
        <v>128</v>
      </c>
      <c r="E7" t="s">
        <v>117</v>
      </c>
      <c r="F7" t="s">
        <v>62</v>
      </c>
      <c r="G7" t="s">
        <v>70</v>
      </c>
    </row>
    <row r="8" spans="1:7" x14ac:dyDescent="0.15">
      <c r="A8" t="s">
        <v>167</v>
      </c>
      <c r="B8">
        <v>50</v>
      </c>
    </row>
    <row r="9" spans="1:7" x14ac:dyDescent="0.15">
      <c r="B9">
        <v>25</v>
      </c>
      <c r="C9">
        <v>250</v>
      </c>
      <c r="D9">
        <v>1500</v>
      </c>
      <c r="E9">
        <v>4500</v>
      </c>
      <c r="F9">
        <v>13500</v>
      </c>
      <c r="G9">
        <v>40000</v>
      </c>
    </row>
    <row r="10" spans="1:7" x14ac:dyDescent="0.15">
      <c r="A10" t="s">
        <v>18</v>
      </c>
      <c r="B10" t="s">
        <v>115</v>
      </c>
      <c r="C10" t="s">
        <v>161</v>
      </c>
      <c r="D10" t="s">
        <v>116</v>
      </c>
      <c r="E10" t="s">
        <v>114</v>
      </c>
      <c r="F10" t="s">
        <v>118</v>
      </c>
      <c r="G10" t="s">
        <v>68</v>
      </c>
    </row>
    <row r="11" spans="1:7" x14ac:dyDescent="0.15">
      <c r="A11" t="s">
        <v>169</v>
      </c>
      <c r="B11">
        <v>62</v>
      </c>
    </row>
    <row r="12" spans="1:7" x14ac:dyDescent="0.15">
      <c r="B12">
        <v>40</v>
      </c>
      <c r="C12">
        <v>400</v>
      </c>
      <c r="D12">
        <v>2400</v>
      </c>
      <c r="E12">
        <v>7200</v>
      </c>
      <c r="F12">
        <v>21600</v>
      </c>
      <c r="G12">
        <v>60000</v>
      </c>
    </row>
    <row r="13" spans="1:7" x14ac:dyDescent="0.15">
      <c r="A13" t="s">
        <v>17</v>
      </c>
      <c r="B13" t="s">
        <v>35</v>
      </c>
      <c r="C13" t="s">
        <v>139</v>
      </c>
      <c r="D13" t="s">
        <v>129</v>
      </c>
      <c r="E13" t="s">
        <v>105</v>
      </c>
      <c r="F13" t="s">
        <v>81</v>
      </c>
      <c r="G13" t="s">
        <v>508</v>
      </c>
    </row>
    <row r="14" spans="1:7" x14ac:dyDescent="0.15">
      <c r="A14" t="s">
        <v>165</v>
      </c>
      <c r="B14">
        <v>40</v>
      </c>
    </row>
    <row r="15" spans="1:7" x14ac:dyDescent="0.15">
      <c r="B15">
        <v>20</v>
      </c>
      <c r="C15">
        <v>200</v>
      </c>
      <c r="D15">
        <v>1200</v>
      </c>
      <c r="E15">
        <v>3600</v>
      </c>
      <c r="F15">
        <v>10800</v>
      </c>
      <c r="G15">
        <v>35000</v>
      </c>
    </row>
    <row r="16" spans="1:7" x14ac:dyDescent="0.15">
      <c r="A16" t="s">
        <v>87</v>
      </c>
      <c r="B16" t="s">
        <v>89</v>
      </c>
      <c r="C16" t="s">
        <v>92</v>
      </c>
      <c r="D16" t="s">
        <v>91</v>
      </c>
      <c r="E16" t="s">
        <v>90</v>
      </c>
      <c r="F16" t="s">
        <v>88</v>
      </c>
      <c r="G16" t="s">
        <v>74</v>
      </c>
    </row>
    <row r="17" spans="1:8" x14ac:dyDescent="0.15">
      <c r="A17" t="s">
        <v>168</v>
      </c>
      <c r="B17">
        <v>37</v>
      </c>
    </row>
    <row r="18" spans="1:8" x14ac:dyDescent="0.15">
      <c r="B18">
        <v>25</v>
      </c>
      <c r="C18">
        <v>250</v>
      </c>
      <c r="D18">
        <v>1500</v>
      </c>
      <c r="E18">
        <v>4500</v>
      </c>
      <c r="F18">
        <v>13500</v>
      </c>
      <c r="G18">
        <v>40000</v>
      </c>
    </row>
    <row r="19" spans="1:8" x14ac:dyDescent="0.15">
      <c r="A19" t="s">
        <v>69</v>
      </c>
      <c r="B19" t="s">
        <v>71</v>
      </c>
      <c r="C19" t="s">
        <v>93</v>
      </c>
      <c r="D19" t="s">
        <v>94</v>
      </c>
      <c r="E19" t="s">
        <v>95</v>
      </c>
      <c r="F19" t="s">
        <v>96</v>
      </c>
      <c r="G19" t="s">
        <v>75</v>
      </c>
      <c r="H19" t="s">
        <v>170</v>
      </c>
    </row>
    <row r="20" spans="1:8" x14ac:dyDescent="0.15">
      <c r="A20" t="s">
        <v>166</v>
      </c>
      <c r="B20" t="s">
        <v>71</v>
      </c>
      <c r="C20">
        <v>34</v>
      </c>
      <c r="H20">
        <v>45</v>
      </c>
    </row>
    <row r="21" spans="1:8" x14ac:dyDescent="0.15">
      <c r="C21">
        <v>300</v>
      </c>
      <c r="D21">
        <v>1800</v>
      </c>
      <c r="E21">
        <v>5400</v>
      </c>
      <c r="F21">
        <v>16200</v>
      </c>
      <c r="G21">
        <v>50000</v>
      </c>
      <c r="H21">
        <v>50000</v>
      </c>
    </row>
    <row r="22" spans="1:8" x14ac:dyDescent="0.15">
      <c r="A22" t="s">
        <v>131</v>
      </c>
      <c r="B22" t="s">
        <v>112</v>
      </c>
      <c r="C22" t="s">
        <v>140</v>
      </c>
      <c r="D22" t="s">
        <v>130</v>
      </c>
      <c r="E22" t="s">
        <v>111</v>
      </c>
      <c r="F22" t="s">
        <v>576</v>
      </c>
      <c r="G22" t="s">
        <v>172</v>
      </c>
    </row>
    <row r="23" spans="1:8" x14ac:dyDescent="0.15">
      <c r="A23" t="s">
        <v>164</v>
      </c>
      <c r="B23">
        <v>55</v>
      </c>
    </row>
    <row r="24" spans="1:8" x14ac:dyDescent="0.15">
      <c r="B24">
        <v>30</v>
      </c>
      <c r="C24">
        <v>300</v>
      </c>
      <c r="D24">
        <v>1800</v>
      </c>
      <c r="E24">
        <v>5400</v>
      </c>
      <c r="F24">
        <v>16200</v>
      </c>
      <c r="G24">
        <v>50000</v>
      </c>
    </row>
    <row r="25" spans="1:8" x14ac:dyDescent="0.15">
      <c r="A25" t="s">
        <v>110</v>
      </c>
      <c r="B25" t="s">
        <v>119</v>
      </c>
      <c r="C25" t="s">
        <v>120</v>
      </c>
      <c r="D25" t="s">
        <v>121</v>
      </c>
      <c r="E25" t="s">
        <v>122</v>
      </c>
      <c r="F25" t="s">
        <v>78</v>
      </c>
      <c r="G25" t="s">
        <v>171</v>
      </c>
    </row>
    <row r="26" spans="1:8" x14ac:dyDescent="0.15">
      <c r="A26" t="s">
        <v>168</v>
      </c>
      <c r="B26">
        <v>48</v>
      </c>
    </row>
    <row r="27" spans="1:8" x14ac:dyDescent="0.15">
      <c r="B27">
        <v>25</v>
      </c>
      <c r="C27">
        <v>250</v>
      </c>
      <c r="D27">
        <v>1500</v>
      </c>
      <c r="E27">
        <v>4500</v>
      </c>
      <c r="F27">
        <v>13500</v>
      </c>
      <c r="G27">
        <v>40000</v>
      </c>
    </row>
    <row r="28" spans="1:8" x14ac:dyDescent="0.15">
      <c r="B28" t="s">
        <v>63</v>
      </c>
      <c r="C28" t="s">
        <v>65</v>
      </c>
    </row>
    <row r="29" spans="1:8" x14ac:dyDescent="0.15">
      <c r="B29" t="s">
        <v>551</v>
      </c>
      <c r="C29" t="s">
        <v>552</v>
      </c>
    </row>
    <row r="30" spans="1:8" x14ac:dyDescent="0.15">
      <c r="B30" t="s">
        <v>163</v>
      </c>
      <c r="C30" t="s">
        <v>97</v>
      </c>
    </row>
    <row r="31" spans="1:8" x14ac:dyDescent="0.15">
      <c r="B31" t="s">
        <v>553</v>
      </c>
      <c r="C31" t="s">
        <v>554</v>
      </c>
    </row>
    <row r="33" spans="1:7" x14ac:dyDescent="0.15">
      <c r="B33" t="s">
        <v>33</v>
      </c>
      <c r="C33" t="s">
        <v>519</v>
      </c>
      <c r="D33" t="s">
        <v>518</v>
      </c>
      <c r="E33" t="s">
        <v>517</v>
      </c>
      <c r="F33" t="s">
        <v>520</v>
      </c>
    </row>
    <row r="34" spans="1:7" x14ac:dyDescent="0.15">
      <c r="A34" t="s">
        <v>19</v>
      </c>
    </row>
    <row r="35" spans="1:7" x14ac:dyDescent="0.15">
      <c r="A35" t="s">
        <v>20</v>
      </c>
      <c r="B35" t="s">
        <v>36</v>
      </c>
      <c r="C35" t="s">
        <v>141</v>
      </c>
      <c r="D35" t="s">
        <v>132</v>
      </c>
      <c r="E35" t="s">
        <v>136</v>
      </c>
      <c r="F35" t="s">
        <v>509</v>
      </c>
      <c r="G35" t="s">
        <v>83</v>
      </c>
    </row>
    <row r="36" spans="1:7" x14ac:dyDescent="0.15">
      <c r="B36">
        <v>-1</v>
      </c>
      <c r="C36">
        <v>-2</v>
      </c>
      <c r="D36">
        <v>-3</v>
      </c>
      <c r="E36">
        <v>-4</v>
      </c>
      <c r="F36">
        <v>-5</v>
      </c>
    </row>
    <row r="37" spans="1:7" x14ac:dyDescent="0.15">
      <c r="B37" t="s">
        <v>444</v>
      </c>
      <c r="D37" t="s">
        <v>444</v>
      </c>
      <c r="E37">
        <v>1</v>
      </c>
      <c r="F37">
        <v>2</v>
      </c>
    </row>
    <row r="38" spans="1:7" x14ac:dyDescent="0.15">
      <c r="B38" t="s">
        <v>444</v>
      </c>
      <c r="C38">
        <v>1</v>
      </c>
      <c r="D38">
        <v>2</v>
      </c>
      <c r="E38">
        <v>3</v>
      </c>
      <c r="F38">
        <v>4</v>
      </c>
    </row>
    <row r="39" spans="1:7" x14ac:dyDescent="0.15">
      <c r="B39">
        <v>10</v>
      </c>
      <c r="C39">
        <v>300</v>
      </c>
      <c r="D39">
        <v>1500</v>
      </c>
      <c r="E39">
        <v>6000</v>
      </c>
      <c r="F39">
        <v>20000</v>
      </c>
    </row>
    <row r="40" spans="1:7" x14ac:dyDescent="0.15">
      <c r="A40" t="s">
        <v>72</v>
      </c>
      <c r="B40" t="s">
        <v>71</v>
      </c>
      <c r="C40" t="s">
        <v>113</v>
      </c>
      <c r="D40" t="s">
        <v>102</v>
      </c>
      <c r="E40" t="s">
        <v>104</v>
      </c>
      <c r="F40" t="s">
        <v>84</v>
      </c>
      <c r="G40" t="s">
        <v>83</v>
      </c>
    </row>
    <row r="41" spans="1:7" x14ac:dyDescent="0.15">
      <c r="C41">
        <v>-2</v>
      </c>
      <c r="D41">
        <v>-3</v>
      </c>
      <c r="E41">
        <v>-4</v>
      </c>
      <c r="F41">
        <v>-5</v>
      </c>
    </row>
    <row r="42" spans="1:7" x14ac:dyDescent="0.15">
      <c r="E42">
        <v>1</v>
      </c>
      <c r="F42">
        <v>2</v>
      </c>
    </row>
    <row r="43" spans="1:7" x14ac:dyDescent="0.15">
      <c r="C43">
        <v>1</v>
      </c>
      <c r="D43">
        <v>2</v>
      </c>
      <c r="E43">
        <v>3</v>
      </c>
      <c r="F43">
        <v>4</v>
      </c>
    </row>
    <row r="44" spans="1:7" x14ac:dyDescent="0.15">
      <c r="C44">
        <v>500</v>
      </c>
      <c r="D44">
        <v>2500</v>
      </c>
      <c r="E44">
        <v>8750</v>
      </c>
      <c r="F44">
        <v>25000</v>
      </c>
    </row>
    <row r="45" spans="1:7" x14ac:dyDescent="0.15">
      <c r="A45" t="s">
        <v>73</v>
      </c>
      <c r="B45" t="s">
        <v>71</v>
      </c>
      <c r="C45" t="s">
        <v>180</v>
      </c>
      <c r="D45" t="s">
        <v>103</v>
      </c>
      <c r="E45" t="s">
        <v>445</v>
      </c>
      <c r="F45" t="s">
        <v>85</v>
      </c>
      <c r="G45" t="s">
        <v>83</v>
      </c>
    </row>
    <row r="46" spans="1:7" x14ac:dyDescent="0.15">
      <c r="C46">
        <v>-2</v>
      </c>
      <c r="D46">
        <v>-3</v>
      </c>
      <c r="E46">
        <v>-4</v>
      </c>
      <c r="F46">
        <v>-5</v>
      </c>
    </row>
    <row r="47" spans="1:7" x14ac:dyDescent="0.15">
      <c r="D47" t="s">
        <v>444</v>
      </c>
      <c r="E47">
        <v>1</v>
      </c>
      <c r="F47">
        <v>2</v>
      </c>
    </row>
    <row r="48" spans="1:7" x14ac:dyDescent="0.15">
      <c r="C48">
        <v>3</v>
      </c>
      <c r="D48">
        <v>5</v>
      </c>
      <c r="E48">
        <v>7</v>
      </c>
      <c r="F48">
        <v>8</v>
      </c>
    </row>
    <row r="49" spans="1:7" x14ac:dyDescent="0.15">
      <c r="C49">
        <v>500</v>
      </c>
      <c r="D49">
        <v>2500</v>
      </c>
      <c r="E49">
        <v>8750</v>
      </c>
      <c r="F49">
        <v>25000</v>
      </c>
    </row>
    <row r="50" spans="1:7" x14ac:dyDescent="0.15">
      <c r="A50" t="s">
        <v>21</v>
      </c>
      <c r="B50" t="s">
        <v>37</v>
      </c>
      <c r="C50" t="s">
        <v>142</v>
      </c>
      <c r="D50" t="s">
        <v>133</v>
      </c>
      <c r="E50" t="s">
        <v>137</v>
      </c>
      <c r="F50" t="s">
        <v>86</v>
      </c>
      <c r="G50" t="s">
        <v>83</v>
      </c>
    </row>
    <row r="51" spans="1:7" x14ac:dyDescent="0.15">
      <c r="B51">
        <v>-3</v>
      </c>
      <c r="C51">
        <v>-4</v>
      </c>
      <c r="D51">
        <v>-5</v>
      </c>
      <c r="E51">
        <v>-6</v>
      </c>
      <c r="F51">
        <v>-7</v>
      </c>
    </row>
    <row r="52" spans="1:7" x14ac:dyDescent="0.15">
      <c r="B52" t="s">
        <v>444</v>
      </c>
      <c r="C52">
        <v>1</v>
      </c>
      <c r="D52">
        <v>2</v>
      </c>
      <c r="E52">
        <v>3</v>
      </c>
      <c r="F52">
        <v>4</v>
      </c>
    </row>
    <row r="53" spans="1:7" x14ac:dyDescent="0.15">
      <c r="C53">
        <v>1</v>
      </c>
      <c r="D53">
        <v>1</v>
      </c>
      <c r="E53">
        <v>2</v>
      </c>
      <c r="F53">
        <v>3</v>
      </c>
    </row>
    <row r="54" spans="1:7" x14ac:dyDescent="0.15">
      <c r="B54">
        <v>25</v>
      </c>
      <c r="C54">
        <v>300</v>
      </c>
      <c r="D54">
        <v>1500</v>
      </c>
      <c r="E54">
        <v>6000</v>
      </c>
      <c r="F54">
        <v>20000</v>
      </c>
    </row>
    <row r="55" spans="1:7" x14ac:dyDescent="0.15">
      <c r="A55" t="s">
        <v>439</v>
      </c>
      <c r="B55" t="s">
        <v>19</v>
      </c>
      <c r="C55" t="s">
        <v>175</v>
      </c>
      <c r="D55" t="s">
        <v>176</v>
      </c>
      <c r="E55" t="s">
        <v>106</v>
      </c>
      <c r="F55" t="s">
        <v>40</v>
      </c>
      <c r="G55" t="s">
        <v>83</v>
      </c>
    </row>
    <row r="56" spans="1:7" x14ac:dyDescent="0.15">
      <c r="B56">
        <v>-2</v>
      </c>
      <c r="C56">
        <v>-3</v>
      </c>
      <c r="D56">
        <v>-4</v>
      </c>
      <c r="E56">
        <v>-5</v>
      </c>
      <c r="F56">
        <v>-6</v>
      </c>
    </row>
    <row r="57" spans="1:7" x14ac:dyDescent="0.15">
      <c r="A57" t="s">
        <v>444</v>
      </c>
      <c r="B57">
        <v>2</v>
      </c>
      <c r="C57">
        <v>3</v>
      </c>
      <c r="D57">
        <v>4</v>
      </c>
      <c r="E57">
        <v>6</v>
      </c>
      <c r="F57">
        <v>7</v>
      </c>
    </row>
    <row r="58" spans="1:7" x14ac:dyDescent="0.15">
      <c r="B58">
        <v>50</v>
      </c>
      <c r="C58">
        <v>750</v>
      </c>
      <c r="D58">
        <v>3500</v>
      </c>
      <c r="E58">
        <v>10000</v>
      </c>
      <c r="F58">
        <v>30000</v>
      </c>
    </row>
    <row r="59" spans="1:7" x14ac:dyDescent="0.15">
      <c r="A59" t="s">
        <v>440</v>
      </c>
      <c r="B59" t="s">
        <v>441</v>
      </c>
      <c r="C59" t="s">
        <v>175</v>
      </c>
      <c r="D59" t="s">
        <v>176</v>
      </c>
      <c r="E59" t="s">
        <v>106</v>
      </c>
      <c r="F59" t="s">
        <v>40</v>
      </c>
      <c r="G59" t="s">
        <v>71</v>
      </c>
    </row>
    <row r="60" spans="1:7" x14ac:dyDescent="0.15">
      <c r="B60">
        <v>-1</v>
      </c>
      <c r="C60">
        <v>-2</v>
      </c>
      <c r="D60">
        <v>-3</v>
      </c>
      <c r="E60">
        <v>-4</v>
      </c>
      <c r="F60">
        <v>-5</v>
      </c>
    </row>
    <row r="61" spans="1:7" x14ac:dyDescent="0.15">
      <c r="A61" t="s">
        <v>444</v>
      </c>
      <c r="B61">
        <v>4</v>
      </c>
      <c r="C61">
        <v>5</v>
      </c>
      <c r="D61">
        <v>7</v>
      </c>
      <c r="E61">
        <v>9</v>
      </c>
      <c r="F61">
        <v>10</v>
      </c>
    </row>
    <row r="62" spans="1:7" x14ac:dyDescent="0.15">
      <c r="B62">
        <v>50</v>
      </c>
      <c r="C62">
        <v>750</v>
      </c>
      <c r="D62">
        <v>3500</v>
      </c>
      <c r="E62">
        <v>10000</v>
      </c>
      <c r="F62">
        <v>30000</v>
      </c>
    </row>
    <row r="66" spans="1:7" x14ac:dyDescent="0.15">
      <c r="A66" t="s">
        <v>174</v>
      </c>
      <c r="G66" t="s">
        <v>83</v>
      </c>
    </row>
    <row r="67" spans="1:7" x14ac:dyDescent="0.15">
      <c r="A67" t="s">
        <v>22</v>
      </c>
      <c r="B67" t="s">
        <v>38</v>
      </c>
      <c r="C67" t="s">
        <v>143</v>
      </c>
      <c r="D67" t="s">
        <v>134</v>
      </c>
      <c r="E67" t="s">
        <v>178</v>
      </c>
      <c r="F67" t="s">
        <v>607</v>
      </c>
      <c r="G67" t="s">
        <v>83</v>
      </c>
    </row>
    <row r="68" spans="1:7" x14ac:dyDescent="0.15">
      <c r="B68">
        <v>-1</v>
      </c>
      <c r="C68">
        <v>-2</v>
      </c>
      <c r="D68">
        <v>-3</v>
      </c>
      <c r="E68">
        <v>-4</v>
      </c>
      <c r="F68">
        <v>-5</v>
      </c>
    </row>
    <row r="69" spans="1:7" x14ac:dyDescent="0.15">
      <c r="E69">
        <v>1</v>
      </c>
      <c r="F69">
        <v>1</v>
      </c>
    </row>
    <row r="70" spans="1:7" x14ac:dyDescent="0.15">
      <c r="F70" t="s">
        <v>444</v>
      </c>
    </row>
    <row r="71" spans="1:7" x14ac:dyDescent="0.15">
      <c r="B71">
        <v>10</v>
      </c>
      <c r="C71">
        <v>300</v>
      </c>
      <c r="D71">
        <v>1500</v>
      </c>
      <c r="E71">
        <v>6000</v>
      </c>
      <c r="F71">
        <v>20000</v>
      </c>
    </row>
    <row r="72" spans="1:7" x14ac:dyDescent="0.15">
      <c r="A72" t="s">
        <v>23</v>
      </c>
      <c r="B72" t="s">
        <v>39</v>
      </c>
      <c r="C72" t="s">
        <v>144</v>
      </c>
      <c r="D72" t="s">
        <v>135</v>
      </c>
      <c r="E72" t="s">
        <v>107</v>
      </c>
      <c r="F72" t="s">
        <v>76</v>
      </c>
      <c r="G72" t="s">
        <v>83</v>
      </c>
    </row>
    <row r="73" spans="1:7" x14ac:dyDescent="0.15">
      <c r="B73">
        <v>-2</v>
      </c>
      <c r="C73">
        <v>-3</v>
      </c>
      <c r="D73">
        <v>-4</v>
      </c>
      <c r="E73">
        <v>-5</v>
      </c>
      <c r="F73">
        <v>-6</v>
      </c>
    </row>
    <row r="74" spans="1:7" x14ac:dyDescent="0.15">
      <c r="C74">
        <v>1</v>
      </c>
      <c r="D74">
        <v>1</v>
      </c>
      <c r="E74">
        <v>2</v>
      </c>
      <c r="F74">
        <v>2</v>
      </c>
    </row>
    <row r="75" spans="1:7" x14ac:dyDescent="0.15">
      <c r="B75">
        <v>1</v>
      </c>
      <c r="C75">
        <v>1</v>
      </c>
      <c r="D75">
        <v>2</v>
      </c>
      <c r="E75">
        <v>2</v>
      </c>
      <c r="F75">
        <v>3</v>
      </c>
    </row>
    <row r="76" spans="1:7" x14ac:dyDescent="0.15">
      <c r="B76">
        <v>30</v>
      </c>
      <c r="C76">
        <v>500</v>
      </c>
      <c r="D76">
        <v>2500</v>
      </c>
      <c r="E76">
        <v>8750</v>
      </c>
      <c r="F76">
        <v>25000</v>
      </c>
    </row>
    <row r="78" spans="1:7" x14ac:dyDescent="0.15">
      <c r="A78" t="s">
        <v>24</v>
      </c>
      <c r="G78" t="s">
        <v>83</v>
      </c>
    </row>
    <row r="79" spans="1:7" x14ac:dyDescent="0.15">
      <c r="A79" t="s">
        <v>27</v>
      </c>
      <c r="B79" t="s">
        <v>99</v>
      </c>
      <c r="C79" t="s">
        <v>145</v>
      </c>
      <c r="D79" t="s">
        <v>148</v>
      </c>
      <c r="E79" t="s">
        <v>177</v>
      </c>
      <c r="F79" t="s">
        <v>608</v>
      </c>
      <c r="G79" t="s">
        <v>83</v>
      </c>
    </row>
    <row r="80" spans="1:7" x14ac:dyDescent="0.15">
      <c r="B80">
        <v>-1</v>
      </c>
      <c r="C80">
        <v>-2</v>
      </c>
      <c r="D80">
        <v>-3</v>
      </c>
      <c r="E80">
        <v>-4</v>
      </c>
      <c r="F80">
        <v>-5</v>
      </c>
    </row>
    <row r="81" spans="1:7" x14ac:dyDescent="0.15">
      <c r="B81">
        <v>10</v>
      </c>
      <c r="C81">
        <v>300</v>
      </c>
      <c r="D81">
        <v>1500</v>
      </c>
      <c r="E81">
        <v>6000</v>
      </c>
      <c r="F81">
        <v>20000</v>
      </c>
    </row>
    <row r="82" spans="1:7" x14ac:dyDescent="0.15">
      <c r="A82" t="s">
        <v>28</v>
      </c>
      <c r="B82" t="s">
        <v>24</v>
      </c>
      <c r="C82" t="s">
        <v>146</v>
      </c>
      <c r="D82" t="s">
        <v>147</v>
      </c>
      <c r="E82" t="s">
        <v>108</v>
      </c>
      <c r="F82" t="s">
        <v>77</v>
      </c>
      <c r="G82" t="s">
        <v>83</v>
      </c>
    </row>
    <row r="83" spans="1:7" x14ac:dyDescent="0.15">
      <c r="B83">
        <v>-2</v>
      </c>
      <c r="C83">
        <v>-3</v>
      </c>
      <c r="D83">
        <v>-4</v>
      </c>
      <c r="E83">
        <v>-5</v>
      </c>
      <c r="F83">
        <v>-6</v>
      </c>
    </row>
    <row r="84" spans="1:7" x14ac:dyDescent="0.15">
      <c r="B84">
        <v>30</v>
      </c>
      <c r="C84">
        <v>500</v>
      </c>
      <c r="D84">
        <v>2500</v>
      </c>
      <c r="E84">
        <v>8750</v>
      </c>
      <c r="F84">
        <v>25000</v>
      </c>
    </row>
    <row r="86" spans="1:7" x14ac:dyDescent="0.15">
      <c r="A86" t="s">
        <v>25</v>
      </c>
      <c r="G86" t="s">
        <v>71</v>
      </c>
    </row>
    <row r="87" spans="1:7" x14ac:dyDescent="0.15">
      <c r="A87" t="s">
        <v>29</v>
      </c>
      <c r="B87" t="s">
        <v>100</v>
      </c>
      <c r="C87" t="s">
        <v>149</v>
      </c>
      <c r="D87" t="s">
        <v>151</v>
      </c>
      <c r="E87" t="s">
        <v>179</v>
      </c>
      <c r="F87" t="s">
        <v>609</v>
      </c>
      <c r="G87" t="s">
        <v>71</v>
      </c>
    </row>
    <row r="88" spans="1:7" x14ac:dyDescent="0.15">
      <c r="B88">
        <v>-1</v>
      </c>
      <c r="C88">
        <v>-2</v>
      </c>
      <c r="D88">
        <v>-3</v>
      </c>
      <c r="E88">
        <v>-4</v>
      </c>
      <c r="F88">
        <v>-5</v>
      </c>
    </row>
    <row r="89" spans="1:7" x14ac:dyDescent="0.15">
      <c r="B89">
        <v>10</v>
      </c>
      <c r="C89">
        <v>300</v>
      </c>
      <c r="D89">
        <v>1500</v>
      </c>
      <c r="E89">
        <v>6000</v>
      </c>
      <c r="F89">
        <v>20000</v>
      </c>
    </row>
    <row r="90" spans="1:7" x14ac:dyDescent="0.15">
      <c r="A90" t="s">
        <v>30</v>
      </c>
      <c r="B90" t="s">
        <v>101</v>
      </c>
      <c r="C90" t="s">
        <v>150</v>
      </c>
      <c r="D90" t="s">
        <v>152</v>
      </c>
      <c r="E90" t="s">
        <v>109</v>
      </c>
      <c r="F90" t="s">
        <v>610</v>
      </c>
      <c r="G90" t="s">
        <v>71</v>
      </c>
    </row>
    <row r="91" spans="1:7" x14ac:dyDescent="0.15">
      <c r="B91">
        <v>-2</v>
      </c>
      <c r="C91">
        <v>-3</v>
      </c>
      <c r="D91">
        <v>-4</v>
      </c>
      <c r="E91">
        <v>-5</v>
      </c>
      <c r="F91">
        <v>-6</v>
      </c>
    </row>
    <row r="92" spans="1:7" x14ac:dyDescent="0.15">
      <c r="B92">
        <v>30</v>
      </c>
      <c r="C92">
        <v>500</v>
      </c>
      <c r="D92">
        <v>2500</v>
      </c>
      <c r="E92">
        <v>8750</v>
      </c>
      <c r="F92">
        <v>25000</v>
      </c>
    </row>
    <row r="94" spans="1:7" x14ac:dyDescent="0.15">
      <c r="A94" t="s">
        <v>64</v>
      </c>
      <c r="C94" t="s">
        <v>66</v>
      </c>
      <c r="D94" t="s">
        <v>126</v>
      </c>
      <c r="E94" t="s">
        <v>124</v>
      </c>
    </row>
    <row r="95" spans="1:7" x14ac:dyDescent="0.15">
      <c r="A95" t="s">
        <v>153</v>
      </c>
      <c r="C95" t="s">
        <v>123</v>
      </c>
      <c r="D95" t="s">
        <v>127</v>
      </c>
      <c r="E95" t="s">
        <v>125</v>
      </c>
    </row>
    <row r="99" spans="1:7" x14ac:dyDescent="0.15">
      <c r="A99" t="s">
        <v>26</v>
      </c>
      <c r="C99" t="s">
        <v>173</v>
      </c>
      <c r="E99" t="s">
        <v>158</v>
      </c>
      <c r="G99" t="s">
        <v>83</v>
      </c>
    </row>
    <row r="100" spans="1:7" x14ac:dyDescent="0.15">
      <c r="A100" t="s">
        <v>31</v>
      </c>
      <c r="C100" t="s">
        <v>159</v>
      </c>
      <c r="E100" t="s">
        <v>160</v>
      </c>
      <c r="G100" t="s">
        <v>83</v>
      </c>
    </row>
    <row r="101" spans="1:7" x14ac:dyDescent="0.15">
      <c r="C101">
        <v>-2</v>
      </c>
    </row>
    <row r="103" spans="1:7" x14ac:dyDescent="0.15">
      <c r="B103" t="s">
        <v>157</v>
      </c>
      <c r="C103" t="s">
        <v>438</v>
      </c>
    </row>
    <row r="106" spans="1:7" x14ac:dyDescent="0.15">
      <c r="B106" t="s">
        <v>162</v>
      </c>
      <c r="C106" t="s">
        <v>495</v>
      </c>
    </row>
    <row r="109" spans="1:7" x14ac:dyDescent="0.15">
      <c r="A109" t="s">
        <v>32</v>
      </c>
    </row>
    <row r="110" spans="1:7" x14ac:dyDescent="0.15">
      <c r="B110" t="s">
        <v>41</v>
      </c>
      <c r="C110" t="s">
        <v>47</v>
      </c>
      <c r="E110" t="s">
        <v>52</v>
      </c>
      <c r="F110" t="s">
        <v>57</v>
      </c>
    </row>
    <row r="111" spans="1:7" x14ac:dyDescent="0.15">
      <c r="B111" t="s">
        <v>42</v>
      </c>
      <c r="C111" t="s">
        <v>67</v>
      </c>
      <c r="E111" t="s">
        <v>53</v>
      </c>
      <c r="F111" t="s">
        <v>58</v>
      </c>
    </row>
    <row r="112" spans="1:7" x14ac:dyDescent="0.15">
      <c r="B112" t="s">
        <v>43</v>
      </c>
      <c r="C112" t="s">
        <v>48</v>
      </c>
      <c r="E112" t="s">
        <v>54</v>
      </c>
      <c r="F112" t="s">
        <v>59</v>
      </c>
    </row>
    <row r="113" spans="1:6" x14ac:dyDescent="0.15">
      <c r="B113" t="s">
        <v>44</v>
      </c>
      <c r="C113" t="s">
        <v>49</v>
      </c>
      <c r="E113" t="s">
        <v>55</v>
      </c>
      <c r="F113" t="s">
        <v>80</v>
      </c>
    </row>
    <row r="114" spans="1:6" x14ac:dyDescent="0.15">
      <c r="B114" t="s">
        <v>45</v>
      </c>
      <c r="C114" t="s">
        <v>50</v>
      </c>
      <c r="E114" t="s">
        <v>56</v>
      </c>
      <c r="F114" t="s">
        <v>61</v>
      </c>
    </row>
    <row r="115" spans="1:6" x14ac:dyDescent="0.15">
      <c r="B115" t="s">
        <v>46</v>
      </c>
      <c r="C115" t="s">
        <v>51</v>
      </c>
      <c r="E115" t="s">
        <v>98</v>
      </c>
      <c r="F115" t="s">
        <v>60</v>
      </c>
    </row>
    <row r="117" spans="1:6" x14ac:dyDescent="0.15">
      <c r="A117" t="s">
        <v>154</v>
      </c>
      <c r="B117" t="s">
        <v>156</v>
      </c>
    </row>
    <row r="118" spans="1:6" x14ac:dyDescent="0.15">
      <c r="B118" t="s">
        <v>155</v>
      </c>
    </row>
  </sheetData>
  <phoneticPr fontId="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1"/>
  <sheetViews>
    <sheetView topLeftCell="A139" zoomScaleNormal="100" workbookViewId="0">
      <selection activeCell="F51" sqref="F51"/>
    </sheetView>
  </sheetViews>
  <sheetFormatPr defaultRowHeight="13.5" x14ac:dyDescent="0.15"/>
  <cols>
    <col min="1" max="1" width="9" customWidth="1"/>
    <col min="2" max="2" width="10.5" customWidth="1"/>
    <col min="3" max="3" width="9" customWidth="1"/>
    <col min="4" max="4" width="10.875" customWidth="1"/>
    <col min="5" max="5" width="10.125" customWidth="1"/>
    <col min="6" max="6" width="12.875" customWidth="1"/>
    <col min="7" max="7" width="14.75" customWidth="1"/>
    <col min="8" max="8" width="14.25" customWidth="1"/>
    <col min="9" max="9" width="31.25" customWidth="1"/>
    <col min="10" max="10" width="9" customWidth="1"/>
    <col min="11" max="11" width="12.625" customWidth="1"/>
    <col min="12" max="12" width="13.875" customWidth="1"/>
    <col min="13" max="13" width="13.375" customWidth="1"/>
  </cols>
  <sheetData>
    <row r="1" spans="1:1" x14ac:dyDescent="0.15">
      <c r="A1" t="s">
        <v>790</v>
      </c>
    </row>
    <row r="2" spans="1:1" x14ac:dyDescent="0.15">
      <c r="A2" t="s">
        <v>646</v>
      </c>
    </row>
    <row r="3" spans="1:1" x14ac:dyDescent="0.15">
      <c r="A3" t="s">
        <v>647</v>
      </c>
    </row>
    <row r="5" spans="1:1" x14ac:dyDescent="0.15">
      <c r="A5" t="s">
        <v>648</v>
      </c>
    </row>
    <row r="6" spans="1:1" x14ac:dyDescent="0.15">
      <c r="A6" t="s">
        <v>698</v>
      </c>
    </row>
    <row r="7" spans="1:1" x14ac:dyDescent="0.15">
      <c r="A7" t="s">
        <v>619</v>
      </c>
    </row>
    <row r="8" spans="1:1" x14ac:dyDescent="0.15">
      <c r="A8" t="s">
        <v>640</v>
      </c>
    </row>
    <row r="9" spans="1:1" x14ac:dyDescent="0.15">
      <c r="A9" t="s">
        <v>639</v>
      </c>
    </row>
    <row r="10" spans="1:1" x14ac:dyDescent="0.15">
      <c r="A10" t="s">
        <v>641</v>
      </c>
    </row>
    <row r="11" spans="1:1" x14ac:dyDescent="0.15">
      <c r="A11" t="s">
        <v>625</v>
      </c>
    </row>
    <row r="13" spans="1:1" x14ac:dyDescent="0.15">
      <c r="A13" t="s">
        <v>791</v>
      </c>
    </row>
    <row r="14" spans="1:1" x14ac:dyDescent="0.15">
      <c r="A14" t="s">
        <v>792</v>
      </c>
    </row>
    <row r="15" spans="1:1" x14ac:dyDescent="0.15">
      <c r="A15" t="s">
        <v>793</v>
      </c>
    </row>
    <row r="16" spans="1:1" x14ac:dyDescent="0.15">
      <c r="A16" t="s">
        <v>801</v>
      </c>
    </row>
    <row r="17" spans="1:6" x14ac:dyDescent="0.15">
      <c r="A17" t="s">
        <v>802</v>
      </c>
    </row>
    <row r="19" spans="1:6" x14ac:dyDescent="0.15">
      <c r="A19" t="s">
        <v>642</v>
      </c>
    </row>
    <row r="20" spans="1:6" x14ac:dyDescent="0.15">
      <c r="B20" s="54" t="s">
        <v>363</v>
      </c>
      <c r="C20" s="31" t="s">
        <v>368</v>
      </c>
      <c r="D20" s="31" t="s">
        <v>638</v>
      </c>
      <c r="E20" s="31" t="s">
        <v>620</v>
      </c>
      <c r="F20" t="s">
        <v>645</v>
      </c>
    </row>
    <row r="21" spans="1:6" x14ac:dyDescent="0.15">
      <c r="B21" s="3">
        <v>6</v>
      </c>
      <c r="C21" s="3" t="s">
        <v>365</v>
      </c>
      <c r="D21" s="39">
        <v>0.23</v>
      </c>
      <c r="E21" s="5" t="s">
        <v>719</v>
      </c>
      <c r="F21" t="s">
        <v>649</v>
      </c>
    </row>
    <row r="22" spans="1:6" x14ac:dyDescent="0.15">
      <c r="B22" s="6"/>
      <c r="C22" s="9" t="s">
        <v>372</v>
      </c>
      <c r="D22" s="40">
        <v>0.46</v>
      </c>
      <c r="E22" s="11" t="s">
        <v>721</v>
      </c>
      <c r="F22" t="s">
        <v>712</v>
      </c>
    </row>
    <row r="23" spans="1:6" x14ac:dyDescent="0.15">
      <c r="B23" s="6"/>
      <c r="C23" s="3" t="s">
        <v>366</v>
      </c>
      <c r="D23" s="39">
        <v>0.01</v>
      </c>
      <c r="E23" s="5" t="s">
        <v>732</v>
      </c>
    </row>
    <row r="24" spans="1:6" x14ac:dyDescent="0.15">
      <c r="B24" s="6"/>
      <c r="C24" s="6" t="s">
        <v>371</v>
      </c>
      <c r="D24" s="41">
        <v>0.02</v>
      </c>
      <c r="E24" s="8" t="s">
        <v>733</v>
      </c>
      <c r="F24" t="s">
        <v>650</v>
      </c>
    </row>
    <row r="25" spans="1:6" x14ac:dyDescent="0.15">
      <c r="B25" s="6"/>
      <c r="C25" s="9" t="s">
        <v>516</v>
      </c>
      <c r="D25" s="40">
        <v>0.02</v>
      </c>
      <c r="E25" s="11" t="s">
        <v>733</v>
      </c>
      <c r="F25" t="s">
        <v>651</v>
      </c>
    </row>
    <row r="26" spans="1:6" x14ac:dyDescent="0.15">
      <c r="B26" s="6"/>
      <c r="C26" s="6" t="s">
        <v>514</v>
      </c>
      <c r="D26" s="41">
        <v>7.0000000000000007E-2</v>
      </c>
      <c r="E26" s="8" t="s">
        <v>734</v>
      </c>
      <c r="F26" t="s">
        <v>652</v>
      </c>
    </row>
    <row r="27" spans="1:6" x14ac:dyDescent="0.15">
      <c r="B27" s="6"/>
      <c r="C27" s="6" t="s">
        <v>374</v>
      </c>
      <c r="D27" s="41">
        <v>0.08</v>
      </c>
      <c r="E27" s="8" t="s">
        <v>735</v>
      </c>
      <c r="F27" t="s">
        <v>803</v>
      </c>
    </row>
    <row r="28" spans="1:6" x14ac:dyDescent="0.15">
      <c r="B28" s="9"/>
      <c r="C28" s="9" t="s">
        <v>375</v>
      </c>
      <c r="D28" s="40">
        <v>0.16</v>
      </c>
      <c r="E28" s="11" t="s">
        <v>736</v>
      </c>
      <c r="F28" t="s">
        <v>653</v>
      </c>
    </row>
    <row r="29" spans="1:6" x14ac:dyDescent="0.15">
      <c r="B29" s="7"/>
      <c r="C29" s="7"/>
      <c r="D29" s="7"/>
      <c r="E29" s="7"/>
    </row>
    <row r="30" spans="1:6" x14ac:dyDescent="0.15">
      <c r="B30" t="s">
        <v>786</v>
      </c>
    </row>
    <row r="31" spans="1:6" x14ac:dyDescent="0.15">
      <c r="B31" t="s">
        <v>787</v>
      </c>
    </row>
    <row r="32" spans="1:6" x14ac:dyDescent="0.15">
      <c r="B32" t="s">
        <v>788</v>
      </c>
    </row>
    <row r="33" spans="1:8" x14ac:dyDescent="0.15">
      <c r="B33" t="s">
        <v>804</v>
      </c>
    </row>
    <row r="35" spans="1:8" x14ac:dyDescent="0.15">
      <c r="B35" t="s">
        <v>789</v>
      </c>
    </row>
    <row r="36" spans="1:8" x14ac:dyDescent="0.15">
      <c r="B36" t="s">
        <v>654</v>
      </c>
    </row>
    <row r="37" spans="1:8" x14ac:dyDescent="0.15">
      <c r="B37" t="s">
        <v>627</v>
      </c>
      <c r="G37" t="s">
        <v>626</v>
      </c>
    </row>
    <row r="38" spans="1:8" x14ac:dyDescent="0.15">
      <c r="B38" t="s">
        <v>794</v>
      </c>
    </row>
    <row r="39" spans="1:8" x14ac:dyDescent="0.15">
      <c r="B39" t="s">
        <v>795</v>
      </c>
    </row>
    <row r="40" spans="1:8" x14ac:dyDescent="0.15">
      <c r="B40" s="16"/>
      <c r="C40" s="22" t="s">
        <v>629</v>
      </c>
      <c r="D40" s="22" t="s">
        <v>630</v>
      </c>
      <c r="E40" s="22" t="s">
        <v>632</v>
      </c>
      <c r="F40" s="18"/>
      <c r="G40" s="30" t="s">
        <v>797</v>
      </c>
      <c r="H40" s="30"/>
    </row>
    <row r="41" spans="1:8" x14ac:dyDescent="0.15">
      <c r="B41" s="16" t="s">
        <v>628</v>
      </c>
      <c r="C41" s="32">
        <v>0.01</v>
      </c>
      <c r="D41" s="32">
        <v>0.02</v>
      </c>
      <c r="E41" s="32">
        <v>0.02</v>
      </c>
      <c r="F41" s="34"/>
      <c r="G41" t="s">
        <v>800</v>
      </c>
      <c r="H41" s="30"/>
    </row>
    <row r="42" spans="1:8" x14ac:dyDescent="0.15">
      <c r="B42" s="16" t="s">
        <v>631</v>
      </c>
      <c r="C42" s="35">
        <f>35/179*5/100</f>
        <v>9.7765363128491604E-3</v>
      </c>
      <c r="D42" s="35">
        <f>72/179*5/100</f>
        <v>2.0111731843575419E-2</v>
      </c>
      <c r="E42" s="35">
        <f>72/179*5/100</f>
        <v>2.0111731843575419E-2</v>
      </c>
      <c r="F42" s="33"/>
      <c r="G42" t="s">
        <v>798</v>
      </c>
      <c r="H42" s="30"/>
    </row>
    <row r="43" spans="1:8" x14ac:dyDescent="0.15">
      <c r="G43" t="s">
        <v>805</v>
      </c>
      <c r="H43" s="30"/>
    </row>
    <row r="44" spans="1:8" x14ac:dyDescent="0.15">
      <c r="A44" s="46" t="s">
        <v>655</v>
      </c>
      <c r="G44" t="s">
        <v>799</v>
      </c>
      <c r="H44" s="30"/>
    </row>
    <row r="45" spans="1:8" x14ac:dyDescent="0.15">
      <c r="A45" s="22" t="s">
        <v>363</v>
      </c>
      <c r="B45" s="22" t="s">
        <v>368</v>
      </c>
      <c r="C45" s="22" t="s">
        <v>638</v>
      </c>
      <c r="D45" s="19" t="s">
        <v>620</v>
      </c>
      <c r="E45" s="16" t="s">
        <v>631</v>
      </c>
      <c r="H45" s="30"/>
    </row>
    <row r="46" spans="1:8" x14ac:dyDescent="0.15">
      <c r="A46" s="3">
        <v>0</v>
      </c>
      <c r="B46" s="3" t="s">
        <v>521</v>
      </c>
      <c r="C46" s="39">
        <v>0.01</v>
      </c>
      <c r="D46" s="3" t="s">
        <v>716</v>
      </c>
      <c r="E46" s="36">
        <f>126/140/100</f>
        <v>9.0000000000000011E-3</v>
      </c>
      <c r="F46" s="7"/>
      <c r="H46" s="21"/>
    </row>
    <row r="47" spans="1:8" x14ac:dyDescent="0.15">
      <c r="A47" s="6"/>
      <c r="B47" s="9" t="s">
        <v>514</v>
      </c>
      <c r="C47" s="40">
        <v>1E-3</v>
      </c>
      <c r="D47" s="9" t="s">
        <v>717</v>
      </c>
      <c r="E47" s="37">
        <f>14/140/100</f>
        <v>1E-3</v>
      </c>
      <c r="F47" s="7"/>
      <c r="G47" t="s">
        <v>657</v>
      </c>
    </row>
    <row r="48" spans="1:8" x14ac:dyDescent="0.15">
      <c r="A48" s="26"/>
      <c r="B48" s="17" t="s">
        <v>522</v>
      </c>
      <c r="C48" s="40">
        <v>0.02</v>
      </c>
      <c r="D48" s="12"/>
      <c r="E48" s="35"/>
      <c r="F48" s="7"/>
      <c r="G48" t="s">
        <v>660</v>
      </c>
    </row>
    <row r="49" spans="1:9" x14ac:dyDescent="0.15">
      <c r="A49" s="17"/>
      <c r="B49" s="25" t="s">
        <v>374</v>
      </c>
      <c r="C49" s="39">
        <v>0.24</v>
      </c>
      <c r="D49" s="6"/>
      <c r="E49" s="35"/>
      <c r="F49" s="7"/>
      <c r="G49" t="s">
        <v>664</v>
      </c>
    </row>
    <row r="50" spans="1:9" x14ac:dyDescent="0.15">
      <c r="A50" s="3">
        <v>1</v>
      </c>
      <c r="B50" s="3" t="s">
        <v>521</v>
      </c>
      <c r="C50" s="39">
        <v>0.03</v>
      </c>
      <c r="D50" s="3" t="s">
        <v>716</v>
      </c>
      <c r="E50" s="36">
        <f>126/140*3/100</f>
        <v>2.7000000000000003E-2</v>
      </c>
      <c r="F50" s="7"/>
      <c r="G50" t="s">
        <v>624</v>
      </c>
    </row>
    <row r="51" spans="1:9" x14ac:dyDescent="0.15">
      <c r="A51" s="6"/>
      <c r="B51" s="9" t="s">
        <v>514</v>
      </c>
      <c r="C51" s="40">
        <v>3.0000000000000001E-3</v>
      </c>
      <c r="D51" s="9" t="s">
        <v>717</v>
      </c>
      <c r="E51" s="37">
        <f>14/140*3/100</f>
        <v>3.0000000000000005E-3</v>
      </c>
      <c r="F51" s="7"/>
      <c r="G51" t="s">
        <v>661</v>
      </c>
    </row>
    <row r="52" spans="1:9" x14ac:dyDescent="0.15">
      <c r="A52" s="26"/>
      <c r="B52" s="17" t="s">
        <v>522</v>
      </c>
      <c r="C52" s="40">
        <v>0.06</v>
      </c>
      <c r="D52" s="9"/>
      <c r="E52" s="35"/>
      <c r="F52" s="7"/>
      <c r="G52" t="s">
        <v>662</v>
      </c>
    </row>
    <row r="53" spans="1:9" x14ac:dyDescent="0.15">
      <c r="A53" s="17"/>
      <c r="B53" s="25" t="s">
        <v>374</v>
      </c>
      <c r="C53" s="39">
        <v>0.24</v>
      </c>
      <c r="D53" s="3"/>
      <c r="E53" s="35"/>
      <c r="F53" s="7"/>
      <c r="G53" t="s">
        <v>633</v>
      </c>
    </row>
    <row r="54" spans="1:9" x14ac:dyDescent="0.15">
      <c r="A54" s="3">
        <v>2</v>
      </c>
      <c r="B54" s="3" t="s">
        <v>521</v>
      </c>
      <c r="C54" s="39">
        <v>0.08</v>
      </c>
      <c r="D54" s="4" t="s">
        <v>718</v>
      </c>
      <c r="E54" s="36">
        <f>112/126*9/100</f>
        <v>0.08</v>
      </c>
      <c r="F54" s="7"/>
      <c r="G54" t="s">
        <v>634</v>
      </c>
    </row>
    <row r="55" spans="1:9" x14ac:dyDescent="0.15">
      <c r="A55" s="6"/>
      <c r="B55" s="9" t="s">
        <v>514</v>
      </c>
      <c r="C55" s="40">
        <v>0.01</v>
      </c>
      <c r="D55" s="10" t="s">
        <v>717</v>
      </c>
      <c r="E55" s="37">
        <f>14/126*9/100</f>
        <v>0.01</v>
      </c>
      <c r="F55" s="7"/>
      <c r="G55" t="s">
        <v>636</v>
      </c>
    </row>
    <row r="56" spans="1:9" x14ac:dyDescent="0.15">
      <c r="A56" s="26"/>
      <c r="B56" s="17" t="s">
        <v>522</v>
      </c>
      <c r="C56" s="40">
        <v>0.16</v>
      </c>
      <c r="D56" s="9"/>
      <c r="E56" s="35"/>
      <c r="F56" s="7"/>
      <c r="G56" t="s">
        <v>644</v>
      </c>
    </row>
    <row r="57" spans="1:9" x14ac:dyDescent="0.15">
      <c r="A57" s="17"/>
      <c r="B57" s="25" t="s">
        <v>374</v>
      </c>
      <c r="C57" s="39">
        <v>0.24</v>
      </c>
      <c r="D57" s="3"/>
      <c r="E57" s="35"/>
      <c r="F57" s="7"/>
    </row>
    <row r="58" spans="1:9" x14ac:dyDescent="0.15">
      <c r="A58" s="3">
        <v>3</v>
      </c>
      <c r="B58" s="3" t="s">
        <v>521</v>
      </c>
      <c r="C58" s="39">
        <v>0.24</v>
      </c>
      <c r="D58" s="4" t="s">
        <v>719</v>
      </c>
      <c r="E58" s="36">
        <f>7/19*70/100</f>
        <v>0.25789473684210523</v>
      </c>
      <c r="F58" s="7"/>
      <c r="G58" s="46" t="s">
        <v>656</v>
      </c>
    </row>
    <row r="59" spans="1:9" x14ac:dyDescent="0.15">
      <c r="A59" s="6"/>
      <c r="B59" s="6" t="s">
        <v>522</v>
      </c>
      <c r="C59" s="41">
        <v>0.46</v>
      </c>
      <c r="D59" s="7" t="s">
        <v>720</v>
      </c>
      <c r="E59" s="37">
        <f>12/19*70/100</f>
        <v>0.44210526315789472</v>
      </c>
      <c r="F59" s="7"/>
      <c r="G59" s="16" t="s">
        <v>376</v>
      </c>
      <c r="H59" s="16" t="s">
        <v>375</v>
      </c>
      <c r="I59" s="16" t="s">
        <v>374</v>
      </c>
    </row>
    <row r="60" spans="1:9" x14ac:dyDescent="0.15">
      <c r="A60" s="6"/>
      <c r="B60" s="3" t="s">
        <v>372</v>
      </c>
      <c r="C60" s="39">
        <v>0.02</v>
      </c>
      <c r="D60" s="4" t="s">
        <v>721</v>
      </c>
      <c r="E60" s="36">
        <f>12/26*4/100</f>
        <v>1.8461538461538463E-2</v>
      </c>
      <c r="F60" s="7"/>
      <c r="G60" s="16" t="s">
        <v>381</v>
      </c>
      <c r="H60" s="16" t="s">
        <v>378</v>
      </c>
      <c r="I60" s="16" t="s">
        <v>383</v>
      </c>
    </row>
    <row r="61" spans="1:9" x14ac:dyDescent="0.15">
      <c r="A61" s="6"/>
      <c r="B61" s="9" t="s">
        <v>514</v>
      </c>
      <c r="C61" s="40">
        <v>0.02</v>
      </c>
      <c r="D61" s="10" t="s">
        <v>722</v>
      </c>
      <c r="E61" s="37">
        <f>14/26*4/100</f>
        <v>2.1538461538461538E-2</v>
      </c>
      <c r="F61" s="7"/>
      <c r="G61" s="16" t="s">
        <v>11</v>
      </c>
      <c r="H61" s="16" t="s">
        <v>380</v>
      </c>
      <c r="I61" s="16" t="s">
        <v>663</v>
      </c>
    </row>
    <row r="62" spans="1:9" x14ac:dyDescent="0.15">
      <c r="A62" s="26"/>
      <c r="B62" s="26" t="s">
        <v>374</v>
      </c>
      <c r="C62" s="41">
        <v>0.24</v>
      </c>
      <c r="D62" s="6"/>
      <c r="E62" s="35"/>
      <c r="F62" s="7"/>
      <c r="G62" s="16" t="s">
        <v>510</v>
      </c>
      <c r="H62" s="16" t="s">
        <v>13</v>
      </c>
      <c r="I62" s="16" t="s">
        <v>379</v>
      </c>
    </row>
    <row r="63" spans="1:9" x14ac:dyDescent="0.15">
      <c r="A63" s="3">
        <v>4</v>
      </c>
      <c r="B63" s="3" t="s">
        <v>521</v>
      </c>
      <c r="C63" s="39">
        <v>0.21</v>
      </c>
      <c r="D63" s="4" t="s">
        <v>723</v>
      </c>
      <c r="E63" s="36">
        <f>7/25*84/100</f>
        <v>0.23520000000000002</v>
      </c>
      <c r="F63" s="7"/>
      <c r="G63" s="16" t="s">
        <v>512</v>
      </c>
      <c r="H63" s="16" t="s">
        <v>12</v>
      </c>
      <c r="I63" s="16" t="s">
        <v>377</v>
      </c>
    </row>
    <row r="64" spans="1:9" x14ac:dyDescent="0.15">
      <c r="A64" s="6"/>
      <c r="B64" s="6" t="s">
        <v>522</v>
      </c>
      <c r="C64" s="41">
        <v>0.42</v>
      </c>
      <c r="D64" s="7" t="s">
        <v>724</v>
      </c>
      <c r="E64" s="38">
        <f>12/25*84/100</f>
        <v>0.4032</v>
      </c>
      <c r="F64" s="7"/>
      <c r="G64" s="16" t="s">
        <v>526</v>
      </c>
      <c r="H64" s="16" t="s">
        <v>525</v>
      </c>
      <c r="I64" s="16" t="s">
        <v>14</v>
      </c>
    </row>
    <row r="65" spans="1:9" x14ac:dyDescent="0.15">
      <c r="A65" s="6"/>
      <c r="B65" s="6" t="s">
        <v>374</v>
      </c>
      <c r="C65" s="41">
        <v>0.21</v>
      </c>
      <c r="D65" s="7" t="s">
        <v>725</v>
      </c>
      <c r="E65" s="37">
        <f>6/25*84/100</f>
        <v>0.2016</v>
      </c>
      <c r="F65" s="7"/>
      <c r="G65" s="16"/>
      <c r="H65" s="16" t="s">
        <v>623</v>
      </c>
      <c r="I65" s="16" t="s">
        <v>511</v>
      </c>
    </row>
    <row r="66" spans="1:9" x14ac:dyDescent="0.15">
      <c r="A66" s="6"/>
      <c r="B66" s="3" t="s">
        <v>365</v>
      </c>
      <c r="C66" s="39">
        <v>0.03</v>
      </c>
      <c r="D66" s="4" t="s">
        <v>726</v>
      </c>
      <c r="E66" s="36">
        <f>7/21*9/100</f>
        <v>0.03</v>
      </c>
      <c r="F66" s="7"/>
      <c r="G66" s="16"/>
      <c r="H66" s="16" t="s">
        <v>621</v>
      </c>
      <c r="I66" s="16" t="s">
        <v>382</v>
      </c>
    </row>
    <row r="67" spans="1:9" x14ac:dyDescent="0.15">
      <c r="A67" s="6"/>
      <c r="B67" s="9" t="s">
        <v>372</v>
      </c>
      <c r="C67" s="40">
        <v>0.06</v>
      </c>
      <c r="D67" s="10" t="s">
        <v>722</v>
      </c>
      <c r="E67" s="37">
        <f>14/21*9/100</f>
        <v>0.06</v>
      </c>
      <c r="F67" s="7"/>
      <c r="G67" s="16"/>
      <c r="H67" s="16" t="s">
        <v>622</v>
      </c>
      <c r="I67" s="16" t="s">
        <v>588</v>
      </c>
    </row>
    <row r="68" spans="1:9" x14ac:dyDescent="0.15">
      <c r="A68" s="6"/>
      <c r="B68" s="3" t="s">
        <v>514</v>
      </c>
      <c r="C68" s="39">
        <v>0.03</v>
      </c>
      <c r="D68" s="4" t="s">
        <v>727</v>
      </c>
      <c r="E68" s="36">
        <f>14/31*6/100</f>
        <v>2.7096774193548386E-2</v>
      </c>
      <c r="F68" s="7"/>
      <c r="G68" s="16"/>
      <c r="H68" s="16" t="s">
        <v>591</v>
      </c>
      <c r="I68" s="16" t="s">
        <v>589</v>
      </c>
    </row>
    <row r="69" spans="1:9" x14ac:dyDescent="0.15">
      <c r="A69" s="9"/>
      <c r="B69" s="6" t="s">
        <v>529</v>
      </c>
      <c r="C69" s="41">
        <v>0.03</v>
      </c>
      <c r="D69" s="7" t="s">
        <v>728</v>
      </c>
      <c r="E69" s="38">
        <f>17/31*6/100</f>
        <v>3.2903225806451608E-2</v>
      </c>
      <c r="F69" s="7"/>
      <c r="G69" s="16"/>
      <c r="H69" s="16" t="s">
        <v>590</v>
      </c>
      <c r="I69" s="16"/>
    </row>
    <row r="70" spans="1:9" x14ac:dyDescent="0.15">
      <c r="A70" s="3">
        <v>5</v>
      </c>
      <c r="B70" s="3" t="s">
        <v>364</v>
      </c>
      <c r="C70" s="39">
        <v>0.16</v>
      </c>
      <c r="D70" s="4" t="s">
        <v>729</v>
      </c>
      <c r="E70" s="36">
        <f>7/19*48/100</f>
        <v>0.17684210526315788</v>
      </c>
      <c r="F70" s="7"/>
      <c r="G70" s="16"/>
      <c r="H70" s="16" t="s">
        <v>527</v>
      </c>
      <c r="I70" s="16"/>
    </row>
    <row r="71" spans="1:9" x14ac:dyDescent="0.15">
      <c r="A71" s="6"/>
      <c r="B71" s="9" t="s">
        <v>522</v>
      </c>
      <c r="C71" s="40">
        <v>0.32</v>
      </c>
      <c r="D71" s="10" t="s">
        <v>721</v>
      </c>
      <c r="E71" s="37">
        <f>12/19*48/100</f>
        <v>0.30315789473684207</v>
      </c>
      <c r="F71" s="7"/>
    </row>
    <row r="72" spans="1:9" x14ac:dyDescent="0.15">
      <c r="A72" s="6"/>
      <c r="B72" s="3" t="s">
        <v>365</v>
      </c>
      <c r="C72" s="39">
        <v>0.08</v>
      </c>
      <c r="D72" s="4" t="s">
        <v>729</v>
      </c>
      <c r="E72" s="36">
        <f>7/31*40/100</f>
        <v>9.0322580645161285E-2</v>
      </c>
      <c r="F72" s="7"/>
    </row>
    <row r="73" spans="1:9" x14ac:dyDescent="0.15">
      <c r="A73" s="6"/>
      <c r="B73" s="6" t="s">
        <v>372</v>
      </c>
      <c r="C73" s="41">
        <v>0.16</v>
      </c>
      <c r="D73" s="14" t="s">
        <v>730</v>
      </c>
      <c r="E73" s="38">
        <f>12/31*40/100</f>
        <v>0.15483870967741936</v>
      </c>
      <c r="F73" s="7"/>
      <c r="G73" t="s">
        <v>658</v>
      </c>
    </row>
    <row r="74" spans="1:9" x14ac:dyDescent="0.15">
      <c r="A74" s="6"/>
      <c r="B74" s="9" t="s">
        <v>530</v>
      </c>
      <c r="C74" s="40">
        <v>0.16</v>
      </c>
      <c r="D74" s="10" t="s">
        <v>731</v>
      </c>
      <c r="E74" s="37">
        <f>12/31*40/100</f>
        <v>0.15483870967741936</v>
      </c>
      <c r="F74" s="7"/>
      <c r="G74" t="s">
        <v>614</v>
      </c>
    </row>
    <row r="75" spans="1:9" x14ac:dyDescent="0.15">
      <c r="A75" s="6"/>
      <c r="B75" s="3" t="s">
        <v>514</v>
      </c>
      <c r="C75" s="39">
        <v>0.05</v>
      </c>
      <c r="D75" s="4" t="s">
        <v>727</v>
      </c>
      <c r="E75" s="36">
        <f>14/31*13/100</f>
        <v>5.8709677419354837E-2</v>
      </c>
      <c r="F75" s="7"/>
      <c r="G75" t="s">
        <v>617</v>
      </c>
    </row>
    <row r="76" spans="1:9" x14ac:dyDescent="0.15">
      <c r="A76" s="9"/>
      <c r="B76" s="6" t="s">
        <v>529</v>
      </c>
      <c r="C76" s="41">
        <v>0.08</v>
      </c>
      <c r="D76" s="7" t="s">
        <v>728</v>
      </c>
      <c r="E76" s="37">
        <f>17/31*13/100</f>
        <v>7.129032258064516E-2</v>
      </c>
      <c r="F76" s="7"/>
      <c r="G76" t="s">
        <v>665</v>
      </c>
    </row>
    <row r="77" spans="1:9" x14ac:dyDescent="0.15">
      <c r="A77" s="3">
        <v>6</v>
      </c>
      <c r="B77" s="3" t="s">
        <v>532</v>
      </c>
      <c r="C77" s="39">
        <v>0.23</v>
      </c>
      <c r="D77" s="4" t="s">
        <v>719</v>
      </c>
      <c r="E77" s="36">
        <f>7/19*69/100</f>
        <v>0.25421052631578944</v>
      </c>
      <c r="F77" s="7"/>
      <c r="G77" t="s">
        <v>618</v>
      </c>
    </row>
    <row r="78" spans="1:9" x14ac:dyDescent="0.15">
      <c r="A78" s="6"/>
      <c r="B78" s="9" t="s">
        <v>523</v>
      </c>
      <c r="C78" s="40">
        <v>0.46</v>
      </c>
      <c r="D78" s="10" t="s">
        <v>721</v>
      </c>
      <c r="E78" s="37">
        <f>12/19*69/100</f>
        <v>0.4357894736842105</v>
      </c>
      <c r="F78" s="7"/>
      <c r="G78" t="s">
        <v>796</v>
      </c>
    </row>
    <row r="79" spans="1:9" x14ac:dyDescent="0.15">
      <c r="A79" s="6"/>
      <c r="B79" s="3" t="s">
        <v>366</v>
      </c>
      <c r="C79" s="39">
        <v>0.01</v>
      </c>
      <c r="D79" s="4" t="s">
        <v>732</v>
      </c>
      <c r="E79" s="36">
        <f>35/179*5/100</f>
        <v>9.7765363128491604E-3</v>
      </c>
      <c r="F79" s="7"/>
    </row>
    <row r="80" spans="1:9" x14ac:dyDescent="0.15">
      <c r="A80" s="6"/>
      <c r="B80" s="6" t="s">
        <v>371</v>
      </c>
      <c r="C80" s="41">
        <v>0.02</v>
      </c>
      <c r="D80" s="7" t="s">
        <v>733</v>
      </c>
      <c r="E80" s="38">
        <f>72/179*5/100</f>
        <v>2.0111731843575419E-2</v>
      </c>
      <c r="F80" s="7"/>
      <c r="G80" s="46" t="s">
        <v>659</v>
      </c>
    </row>
    <row r="81" spans="1:9" x14ac:dyDescent="0.15">
      <c r="A81" s="6"/>
      <c r="B81" s="9" t="s">
        <v>516</v>
      </c>
      <c r="C81" s="40">
        <v>0.02</v>
      </c>
      <c r="D81" s="10" t="s">
        <v>733</v>
      </c>
      <c r="E81" s="37">
        <f>72/179*5/100</f>
        <v>2.0111731843575419E-2</v>
      </c>
      <c r="F81" s="7"/>
      <c r="G81" s="29" t="s">
        <v>643</v>
      </c>
      <c r="H81" s="19" t="s">
        <v>611</v>
      </c>
      <c r="I81" s="22" t="s">
        <v>666</v>
      </c>
    </row>
    <row r="82" spans="1:9" x14ac:dyDescent="0.15">
      <c r="A82" s="6"/>
      <c r="B82" s="6" t="s">
        <v>514</v>
      </c>
      <c r="C82" s="41">
        <v>7.0000000000000007E-2</v>
      </c>
      <c r="D82" s="7" t="s">
        <v>734</v>
      </c>
      <c r="E82" s="36">
        <f t="shared" ref="E82:E83" si="0">42/169*31/100</f>
        <v>7.7041420118343196E-2</v>
      </c>
      <c r="F82" s="7"/>
      <c r="G82" s="16">
        <v>7</v>
      </c>
      <c r="H82" s="9" t="s">
        <v>364</v>
      </c>
      <c r="I82" s="23" t="s">
        <v>533</v>
      </c>
    </row>
    <row r="83" spans="1:9" x14ac:dyDescent="0.15">
      <c r="A83" s="6"/>
      <c r="B83" s="6" t="s">
        <v>530</v>
      </c>
      <c r="C83" s="41">
        <v>0.08</v>
      </c>
      <c r="D83" s="7" t="s">
        <v>735</v>
      </c>
      <c r="E83" s="38">
        <f t="shared" si="0"/>
        <v>7.7041420118343196E-2</v>
      </c>
      <c r="F83" s="7"/>
      <c r="G83" s="16">
        <v>7</v>
      </c>
      <c r="H83" s="12" t="s">
        <v>365</v>
      </c>
      <c r="I83" s="23" t="s">
        <v>534</v>
      </c>
    </row>
    <row r="84" spans="1:9" x14ac:dyDescent="0.15">
      <c r="A84" s="9"/>
      <c r="B84" s="6" t="s">
        <v>529</v>
      </c>
      <c r="C84" s="41">
        <v>0.16</v>
      </c>
      <c r="D84" s="7" t="s">
        <v>736</v>
      </c>
      <c r="E84" s="37">
        <f>85/169*31/100</f>
        <v>0.15591715976331361</v>
      </c>
      <c r="F84" s="7"/>
      <c r="G84" s="16">
        <v>7</v>
      </c>
      <c r="H84" s="12" t="s">
        <v>366</v>
      </c>
      <c r="I84" s="23" t="s">
        <v>535</v>
      </c>
    </row>
    <row r="85" spans="1:9" x14ac:dyDescent="0.15">
      <c r="A85" s="3">
        <v>7</v>
      </c>
      <c r="B85" s="3" t="s">
        <v>532</v>
      </c>
      <c r="C85" s="39">
        <v>0.21</v>
      </c>
      <c r="D85" s="4" t="s">
        <v>719</v>
      </c>
      <c r="E85" s="36">
        <f>7/19*63/100</f>
        <v>0.23210526315789473</v>
      </c>
      <c r="F85" s="7"/>
      <c r="G85" s="16">
        <v>7</v>
      </c>
      <c r="H85" s="12" t="s">
        <v>367</v>
      </c>
      <c r="I85" s="23" t="s">
        <v>536</v>
      </c>
    </row>
    <row r="86" spans="1:9" x14ac:dyDescent="0.15">
      <c r="A86" s="6"/>
      <c r="B86" s="6" t="s">
        <v>372</v>
      </c>
      <c r="C86" s="41">
        <v>0.42</v>
      </c>
      <c r="D86" s="10" t="s">
        <v>721</v>
      </c>
      <c r="E86" s="37">
        <f>12/19*63/100</f>
        <v>0.3978947368421053</v>
      </c>
      <c r="F86" s="7"/>
      <c r="G86" s="16">
        <v>8</v>
      </c>
      <c r="H86" s="12" t="s">
        <v>369</v>
      </c>
      <c r="I86" s="23" t="s">
        <v>545</v>
      </c>
    </row>
    <row r="87" spans="1:9" x14ac:dyDescent="0.15">
      <c r="A87" s="6"/>
      <c r="B87" s="3" t="s">
        <v>366</v>
      </c>
      <c r="C87" s="39">
        <v>0.03</v>
      </c>
      <c r="D87" s="4" t="s">
        <v>732</v>
      </c>
      <c r="E87" s="36">
        <f>35/143*12/100</f>
        <v>2.937062937062937E-2</v>
      </c>
      <c r="F87" s="7"/>
      <c r="G87" s="16">
        <v>12</v>
      </c>
      <c r="H87" s="12" t="s">
        <v>615</v>
      </c>
      <c r="I87" s="23" t="s">
        <v>542</v>
      </c>
    </row>
    <row r="88" spans="1:9" x14ac:dyDescent="0.15">
      <c r="A88" s="6"/>
      <c r="B88" s="6" t="s">
        <v>371</v>
      </c>
      <c r="C88" s="41">
        <v>0.06</v>
      </c>
      <c r="D88" s="7" t="s">
        <v>733</v>
      </c>
      <c r="E88" s="38">
        <f>72/143*12/100</f>
        <v>6.0419580419580426E-2</v>
      </c>
      <c r="F88" s="59"/>
      <c r="G88" s="16">
        <v>13</v>
      </c>
      <c r="H88" s="12" t="s">
        <v>616</v>
      </c>
      <c r="I88" s="23" t="s">
        <v>579</v>
      </c>
    </row>
    <row r="89" spans="1:9" x14ac:dyDescent="0.15">
      <c r="A89" s="6"/>
      <c r="B89" s="55" t="s">
        <v>516</v>
      </c>
      <c r="C89" s="56">
        <v>0.03</v>
      </c>
      <c r="D89" s="57" t="s">
        <v>737</v>
      </c>
      <c r="E89" s="58">
        <f>36/143*12/100</f>
        <v>3.0209790209790213E-2</v>
      </c>
      <c r="F89" s="59"/>
      <c r="G89" s="16">
        <v>12</v>
      </c>
      <c r="H89" s="12" t="s">
        <v>373</v>
      </c>
      <c r="I89" s="23" t="s">
        <v>537</v>
      </c>
    </row>
    <row r="90" spans="1:9" x14ac:dyDescent="0.15">
      <c r="A90" s="6"/>
      <c r="B90" s="3" t="s">
        <v>514</v>
      </c>
      <c r="C90" s="39">
        <v>0.09</v>
      </c>
      <c r="D90" s="4" t="s">
        <v>738</v>
      </c>
      <c r="E90" s="36">
        <f>14/48*33/100</f>
        <v>9.6250000000000002E-2</v>
      </c>
      <c r="F90" s="59"/>
      <c r="G90" s="16">
        <v>12</v>
      </c>
      <c r="H90" s="12" t="s">
        <v>372</v>
      </c>
      <c r="I90" s="23" t="s">
        <v>538</v>
      </c>
    </row>
    <row r="91" spans="1:9" x14ac:dyDescent="0.15">
      <c r="A91" s="9"/>
      <c r="B91" s="9" t="s">
        <v>529</v>
      </c>
      <c r="C91" s="40">
        <v>0.24</v>
      </c>
      <c r="D91" s="10" t="s">
        <v>739</v>
      </c>
      <c r="E91" s="38">
        <f>34/48*33/100</f>
        <v>0.23375000000000001</v>
      </c>
      <c r="F91" s="59"/>
      <c r="G91" s="16">
        <v>12</v>
      </c>
      <c r="H91" s="12" t="s">
        <v>371</v>
      </c>
      <c r="I91" s="23" t="s">
        <v>539</v>
      </c>
    </row>
    <row r="92" spans="1:9" x14ac:dyDescent="0.15">
      <c r="A92" s="3">
        <v>8</v>
      </c>
      <c r="B92" s="3" t="s">
        <v>532</v>
      </c>
      <c r="C92" s="39">
        <v>0.16</v>
      </c>
      <c r="D92" s="4" t="s">
        <v>740</v>
      </c>
      <c r="E92" s="36">
        <f>42/131*48/100</f>
        <v>0.15389312977099234</v>
      </c>
      <c r="F92" s="59"/>
      <c r="G92" s="16">
        <v>12</v>
      </c>
      <c r="H92" s="12" t="s">
        <v>370</v>
      </c>
      <c r="I92" s="23" t="s">
        <v>540</v>
      </c>
    </row>
    <row r="93" spans="1:9" x14ac:dyDescent="0.15">
      <c r="A93" s="6"/>
      <c r="B93" s="6" t="s">
        <v>366</v>
      </c>
      <c r="C93" s="41">
        <v>0.08</v>
      </c>
      <c r="D93" s="7" t="s">
        <v>741</v>
      </c>
      <c r="E93" s="38">
        <f>21/131*48/100</f>
        <v>7.6946564885496171E-2</v>
      </c>
      <c r="F93" s="7"/>
      <c r="G93" s="16">
        <v>14</v>
      </c>
      <c r="H93" s="12" t="s">
        <v>513</v>
      </c>
      <c r="I93" s="23" t="s">
        <v>543</v>
      </c>
    </row>
    <row r="94" spans="1:9" x14ac:dyDescent="0.15">
      <c r="A94" s="6"/>
      <c r="B94" s="6" t="s">
        <v>529</v>
      </c>
      <c r="C94" s="41">
        <v>0.24</v>
      </c>
      <c r="D94" s="7" t="s">
        <v>742</v>
      </c>
      <c r="E94" s="37">
        <f>68/131*48/100</f>
        <v>0.24916030534351144</v>
      </c>
      <c r="F94" s="7"/>
      <c r="G94" s="20" t="s">
        <v>637</v>
      </c>
      <c r="H94" s="12" t="s">
        <v>374</v>
      </c>
      <c r="I94" s="23" t="s">
        <v>635</v>
      </c>
    </row>
    <row r="95" spans="1:9" x14ac:dyDescent="0.15">
      <c r="A95" s="6"/>
      <c r="B95" s="3" t="s">
        <v>372</v>
      </c>
      <c r="C95" s="39">
        <v>0.32</v>
      </c>
      <c r="D95" s="4" t="s">
        <v>743</v>
      </c>
      <c r="E95" s="36">
        <f>24/36*48/100</f>
        <v>0.32</v>
      </c>
      <c r="F95" s="7"/>
      <c r="G95" s="16">
        <v>17</v>
      </c>
      <c r="H95" s="12" t="s">
        <v>375</v>
      </c>
      <c r="I95" s="23" t="s">
        <v>541</v>
      </c>
    </row>
    <row r="96" spans="1:9" x14ac:dyDescent="0.15">
      <c r="A96" s="6"/>
      <c r="B96" s="9" t="s">
        <v>371</v>
      </c>
      <c r="C96" s="40">
        <v>0.16</v>
      </c>
      <c r="D96" s="10" t="s">
        <v>744</v>
      </c>
      <c r="E96" s="37">
        <f>12/36*48/100</f>
        <v>0.16</v>
      </c>
      <c r="F96" s="7"/>
      <c r="G96" s="16">
        <v>21</v>
      </c>
      <c r="H96" s="12" t="s">
        <v>376</v>
      </c>
      <c r="I96" s="23" t="s">
        <v>544</v>
      </c>
    </row>
    <row r="97" spans="1:9" x14ac:dyDescent="0.15">
      <c r="A97" s="6"/>
      <c r="B97" s="6" t="s">
        <v>514</v>
      </c>
      <c r="C97" s="41">
        <v>0.09</v>
      </c>
      <c r="D97" s="7" t="s">
        <v>745</v>
      </c>
      <c r="E97" s="36">
        <f>56/80*13/100</f>
        <v>9.0999999999999998E-2</v>
      </c>
      <c r="F97" s="7"/>
      <c r="I97" s="2"/>
    </row>
    <row r="98" spans="1:9" x14ac:dyDescent="0.15">
      <c r="A98" s="9"/>
      <c r="B98" s="9" t="s">
        <v>516</v>
      </c>
      <c r="C98" s="40">
        <v>0.04</v>
      </c>
      <c r="D98" s="10" t="s">
        <v>746</v>
      </c>
      <c r="E98" s="37">
        <f>24/80*13/100</f>
        <v>3.9E-2</v>
      </c>
      <c r="F98" s="7"/>
      <c r="I98" s="2"/>
    </row>
    <row r="99" spans="1:9" x14ac:dyDescent="0.15">
      <c r="A99" s="3">
        <v>9</v>
      </c>
      <c r="B99" s="3" t="s">
        <v>531</v>
      </c>
      <c r="C99" s="39">
        <v>0.32</v>
      </c>
      <c r="D99" s="4" t="s">
        <v>747</v>
      </c>
      <c r="E99" s="36">
        <f>24/36*48/100</f>
        <v>0.32</v>
      </c>
      <c r="F99" s="7"/>
      <c r="I99" s="2"/>
    </row>
    <row r="100" spans="1:9" x14ac:dyDescent="0.15">
      <c r="A100" s="6"/>
      <c r="B100" s="6" t="s">
        <v>575</v>
      </c>
      <c r="C100" s="42">
        <v>0.16</v>
      </c>
      <c r="D100" s="7" t="s">
        <v>744</v>
      </c>
      <c r="E100" s="37">
        <f>12/36*48/100</f>
        <v>0.16</v>
      </c>
      <c r="F100" s="7"/>
      <c r="G100" s="43"/>
      <c r="H100" s="18"/>
      <c r="I100" s="18"/>
    </row>
    <row r="101" spans="1:9" x14ac:dyDescent="0.15">
      <c r="A101" s="6"/>
      <c r="B101" s="3" t="s">
        <v>366</v>
      </c>
      <c r="C101" s="39">
        <v>0.23</v>
      </c>
      <c r="D101" s="4" t="s">
        <v>748</v>
      </c>
      <c r="E101" s="36">
        <f>35/69*44/100</f>
        <v>0.22318840579710147</v>
      </c>
      <c r="F101" s="7"/>
      <c r="G101" s="7"/>
      <c r="H101" s="7"/>
      <c r="I101" s="24"/>
    </row>
    <row r="102" spans="1:9" x14ac:dyDescent="0.15">
      <c r="A102" s="6"/>
      <c r="B102" s="9" t="s">
        <v>375</v>
      </c>
      <c r="C102" s="40">
        <v>0.21</v>
      </c>
      <c r="D102" s="10" t="s">
        <v>739</v>
      </c>
      <c r="E102" s="37">
        <f>34/69*44/100</f>
        <v>0.21681159420289856</v>
      </c>
      <c r="F102" s="7"/>
      <c r="G102" s="7"/>
      <c r="H102" s="7"/>
      <c r="I102" s="24"/>
    </row>
    <row r="103" spans="1:9" x14ac:dyDescent="0.15">
      <c r="A103" s="6"/>
      <c r="B103" s="6" t="s">
        <v>367</v>
      </c>
      <c r="C103" s="41">
        <v>0.01</v>
      </c>
      <c r="D103" s="7" t="s">
        <v>749</v>
      </c>
      <c r="E103" s="36">
        <f>14/254*18/100</f>
        <v>9.9212598425196859E-3</v>
      </c>
      <c r="F103" s="7"/>
      <c r="G103" s="7"/>
      <c r="H103" s="7"/>
      <c r="I103" s="24"/>
    </row>
    <row r="104" spans="1:9" x14ac:dyDescent="0.15">
      <c r="A104" s="6"/>
      <c r="B104" s="6" t="s">
        <v>358</v>
      </c>
      <c r="C104" s="41">
        <v>0.05</v>
      </c>
      <c r="D104" s="7" t="s">
        <v>750</v>
      </c>
      <c r="E104" s="38">
        <f>72/254*18/100</f>
        <v>5.1023622047244095E-2</v>
      </c>
      <c r="F104" s="7"/>
      <c r="G104" s="7"/>
      <c r="H104" s="7"/>
      <c r="I104" s="24"/>
    </row>
    <row r="105" spans="1:9" x14ac:dyDescent="0.15">
      <c r="A105" s="6"/>
      <c r="B105" s="6" t="s">
        <v>514</v>
      </c>
      <c r="C105" s="42">
        <v>0.09</v>
      </c>
      <c r="D105" s="7" t="s">
        <v>751</v>
      </c>
      <c r="E105" s="38">
        <f>126/254*18/100</f>
        <v>8.9291338582677168E-2</v>
      </c>
      <c r="F105" s="7"/>
      <c r="G105" s="7"/>
      <c r="H105" s="7"/>
      <c r="I105" s="24"/>
    </row>
    <row r="106" spans="1:9" x14ac:dyDescent="0.15">
      <c r="A106" s="9"/>
      <c r="B106" s="9" t="s">
        <v>376</v>
      </c>
      <c r="C106" s="40">
        <v>0.03</v>
      </c>
      <c r="D106" s="15" t="s">
        <v>752</v>
      </c>
      <c r="E106" s="37">
        <f>42/254*18/100</f>
        <v>2.9763779527559056E-2</v>
      </c>
      <c r="F106" s="7"/>
      <c r="G106" s="7"/>
      <c r="H106" s="7"/>
      <c r="I106" s="24"/>
    </row>
    <row r="107" spans="1:9" x14ac:dyDescent="0.15">
      <c r="A107" s="3">
        <v>10</v>
      </c>
      <c r="B107" s="3" t="s">
        <v>366</v>
      </c>
      <c r="C107" s="39">
        <v>0.21</v>
      </c>
      <c r="D107" s="4" t="s">
        <v>753</v>
      </c>
      <c r="E107" s="36">
        <f>28/91*68/100</f>
        <v>0.20923076923076922</v>
      </c>
      <c r="F107" s="7"/>
      <c r="G107" s="7"/>
      <c r="H107" s="7"/>
      <c r="I107" s="24"/>
    </row>
    <row r="108" spans="1:9" x14ac:dyDescent="0.15">
      <c r="A108" s="6"/>
      <c r="B108" s="6" t="s">
        <v>531</v>
      </c>
      <c r="C108" s="41">
        <v>0.47</v>
      </c>
      <c r="D108" s="7" t="s">
        <v>754</v>
      </c>
      <c r="E108" s="37">
        <f>63/91*68/100</f>
        <v>0.47076923076923072</v>
      </c>
      <c r="F108" s="7"/>
      <c r="G108" s="7"/>
      <c r="H108" s="7"/>
      <c r="I108" s="24"/>
    </row>
    <row r="109" spans="1:9" x14ac:dyDescent="0.15">
      <c r="A109" s="6"/>
      <c r="B109" s="3" t="s">
        <v>367</v>
      </c>
      <c r="C109" s="39">
        <v>0.03</v>
      </c>
      <c r="D109" s="4" t="s">
        <v>732</v>
      </c>
      <c r="E109" s="36">
        <f>35/119*10/100</f>
        <v>2.9411764705882356E-2</v>
      </c>
      <c r="F109" s="7"/>
      <c r="G109" s="7"/>
      <c r="H109" s="7"/>
      <c r="I109" s="24"/>
    </row>
    <row r="110" spans="1:9" x14ac:dyDescent="0.15">
      <c r="A110" s="6"/>
      <c r="B110" s="6" t="s">
        <v>370</v>
      </c>
      <c r="C110" s="41">
        <v>0.01</v>
      </c>
      <c r="D110" s="7" t="s">
        <v>721</v>
      </c>
      <c r="E110" s="38">
        <f>12/119*10/100</f>
        <v>1.0084033613445377E-2</v>
      </c>
      <c r="F110" s="7"/>
      <c r="G110" s="7"/>
      <c r="H110" s="7"/>
      <c r="I110" s="24"/>
    </row>
    <row r="111" spans="1:9" x14ac:dyDescent="0.15">
      <c r="A111" s="6"/>
      <c r="B111" s="9" t="s">
        <v>358</v>
      </c>
      <c r="C111" s="40">
        <v>0.06</v>
      </c>
      <c r="D111" s="10" t="s">
        <v>755</v>
      </c>
      <c r="E111" s="37">
        <f>72/119*10/100</f>
        <v>6.0504201680672269E-2</v>
      </c>
      <c r="F111" s="7"/>
      <c r="G111" s="7"/>
      <c r="H111" s="7"/>
      <c r="I111" s="24"/>
    </row>
    <row r="112" spans="1:9" x14ac:dyDescent="0.15">
      <c r="A112" s="6"/>
      <c r="B112" s="6" t="s">
        <v>514</v>
      </c>
      <c r="C112" s="41">
        <v>0.09</v>
      </c>
      <c r="D112" s="7" t="s">
        <v>756</v>
      </c>
      <c r="E112" s="36">
        <f>68/257*33/100</f>
        <v>8.7315175097276279E-2</v>
      </c>
      <c r="F112" s="7"/>
      <c r="G112" s="7"/>
      <c r="H112" s="7"/>
      <c r="I112" s="24"/>
    </row>
    <row r="113" spans="1:9" x14ac:dyDescent="0.15">
      <c r="A113" s="6"/>
      <c r="B113" s="6" t="s">
        <v>375</v>
      </c>
      <c r="C113" s="41">
        <v>0.16</v>
      </c>
      <c r="D113" s="7" t="s">
        <v>751</v>
      </c>
      <c r="E113" s="38">
        <f>126/257*33/100</f>
        <v>0.16178988326848248</v>
      </c>
      <c r="F113" s="7"/>
      <c r="G113" s="44"/>
      <c r="H113" s="7"/>
      <c r="I113" s="24"/>
    </row>
    <row r="114" spans="1:9" x14ac:dyDescent="0.15">
      <c r="A114" s="9"/>
      <c r="B114" s="9" t="s">
        <v>376</v>
      </c>
      <c r="C114" s="40">
        <v>0.08</v>
      </c>
      <c r="D114" s="10" t="s">
        <v>757</v>
      </c>
      <c r="E114" s="38">
        <f>63/257*33/100</f>
        <v>8.0894941634241241E-2</v>
      </c>
      <c r="F114" s="7"/>
      <c r="G114" s="7"/>
      <c r="H114" s="7"/>
      <c r="I114" s="24"/>
    </row>
    <row r="115" spans="1:9" x14ac:dyDescent="0.15">
      <c r="A115" s="3">
        <v>11</v>
      </c>
      <c r="B115" s="3" t="s">
        <v>366</v>
      </c>
      <c r="C115" s="39">
        <v>0.16</v>
      </c>
      <c r="D115" s="4" t="s">
        <v>758</v>
      </c>
      <c r="E115" s="36">
        <f>14/21*24/100</f>
        <v>0.16</v>
      </c>
      <c r="F115" s="7"/>
      <c r="G115" s="7"/>
      <c r="H115" s="7"/>
      <c r="I115" s="24"/>
    </row>
    <row r="116" spans="1:9" x14ac:dyDescent="0.15">
      <c r="A116" s="6"/>
      <c r="B116" s="6" t="s">
        <v>367</v>
      </c>
      <c r="C116" s="41">
        <v>0.08</v>
      </c>
      <c r="D116" s="7" t="s">
        <v>719</v>
      </c>
      <c r="E116" s="37">
        <f>7/21*24/100</f>
        <v>0.08</v>
      </c>
      <c r="F116" s="7"/>
      <c r="G116" s="7"/>
      <c r="H116" s="7"/>
      <c r="I116" s="45"/>
    </row>
    <row r="117" spans="1:9" x14ac:dyDescent="0.15">
      <c r="A117" s="6"/>
      <c r="B117" s="3" t="s">
        <v>370</v>
      </c>
      <c r="C117" s="39">
        <v>0.03</v>
      </c>
      <c r="D117" s="4" t="s">
        <v>746</v>
      </c>
      <c r="E117" s="36">
        <f>24/214*26/100</f>
        <v>2.9158878504672896E-2</v>
      </c>
      <c r="F117" s="7"/>
      <c r="G117" s="7"/>
      <c r="H117" s="7"/>
      <c r="I117" s="45"/>
    </row>
    <row r="118" spans="1:9" x14ac:dyDescent="0.15">
      <c r="A118" s="6"/>
      <c r="B118" s="6" t="s">
        <v>375</v>
      </c>
      <c r="C118" s="41">
        <v>0.08</v>
      </c>
      <c r="D118" s="7" t="s">
        <v>756</v>
      </c>
      <c r="E118" s="38">
        <f>68/214*26/100</f>
        <v>8.2616822429906533E-2</v>
      </c>
      <c r="F118" s="7"/>
      <c r="G118" s="7"/>
      <c r="H118" s="7"/>
      <c r="I118" s="45"/>
    </row>
    <row r="119" spans="1:9" x14ac:dyDescent="0.15">
      <c r="A119" s="6"/>
      <c r="B119" s="6" t="s">
        <v>514</v>
      </c>
      <c r="C119" s="41">
        <v>0.09</v>
      </c>
      <c r="D119" s="7" t="s">
        <v>759</v>
      </c>
      <c r="E119" s="38">
        <f>70/214*26/100</f>
        <v>8.504672897196261E-2</v>
      </c>
      <c r="F119" s="7"/>
      <c r="G119" s="43"/>
      <c r="H119" s="18"/>
      <c r="I119" s="18"/>
    </row>
    <row r="120" spans="1:9" x14ac:dyDescent="0.15">
      <c r="A120" s="6"/>
      <c r="B120" s="9" t="s">
        <v>546</v>
      </c>
      <c r="C120" s="40">
        <v>0.06</v>
      </c>
      <c r="D120" s="10" t="s">
        <v>760</v>
      </c>
      <c r="E120" s="37">
        <f>52/214*26/100</f>
        <v>6.3177570093457952E-2</v>
      </c>
      <c r="F120" s="7"/>
      <c r="G120" s="7"/>
      <c r="H120" s="7"/>
      <c r="I120" s="24"/>
    </row>
    <row r="121" spans="1:9" x14ac:dyDescent="0.15">
      <c r="A121" s="6"/>
      <c r="B121" s="6" t="s">
        <v>371</v>
      </c>
      <c r="C121" s="41">
        <v>0.45</v>
      </c>
      <c r="D121" s="7" t="s">
        <v>761</v>
      </c>
      <c r="E121" s="36">
        <f>60/81*61/100</f>
        <v>0.45185185185185184</v>
      </c>
      <c r="F121" s="7" t="s">
        <v>763</v>
      </c>
      <c r="G121" s="7"/>
      <c r="H121" s="7"/>
      <c r="I121" s="24"/>
    </row>
    <row r="122" spans="1:9" x14ac:dyDescent="0.15">
      <c r="A122" s="9"/>
      <c r="B122" s="9" t="s">
        <v>376</v>
      </c>
      <c r="C122" s="40">
        <v>0.16</v>
      </c>
      <c r="D122" s="10" t="s">
        <v>762</v>
      </c>
      <c r="E122" s="37">
        <f>21/81*61/100</f>
        <v>0.15814814814814812</v>
      </c>
      <c r="F122" s="7" t="s">
        <v>764</v>
      </c>
      <c r="G122" s="7"/>
      <c r="H122" s="7"/>
      <c r="I122" s="24"/>
    </row>
    <row r="123" spans="1:9" x14ac:dyDescent="0.15">
      <c r="A123" s="3">
        <v>12</v>
      </c>
      <c r="B123" s="3" t="s">
        <v>366</v>
      </c>
      <c r="C123" s="39">
        <v>0.08</v>
      </c>
      <c r="D123" s="4" t="s">
        <v>719</v>
      </c>
      <c r="E123" s="36">
        <f>7/21*24/100</f>
        <v>0.08</v>
      </c>
      <c r="F123" s="7"/>
      <c r="G123" s="7"/>
      <c r="H123" s="7"/>
      <c r="I123" s="24"/>
    </row>
    <row r="124" spans="1:9" x14ac:dyDescent="0.15">
      <c r="A124" s="6"/>
      <c r="B124" s="6" t="s">
        <v>367</v>
      </c>
      <c r="C124" s="41">
        <v>0.16</v>
      </c>
      <c r="D124" s="7" t="s">
        <v>765</v>
      </c>
      <c r="E124" s="37">
        <f>14/21*24/100</f>
        <v>0.16</v>
      </c>
      <c r="F124" s="7"/>
      <c r="G124" s="7"/>
      <c r="H124" s="7"/>
      <c r="I124" s="24"/>
    </row>
    <row r="125" spans="1:9" x14ac:dyDescent="0.15">
      <c r="A125" s="6"/>
      <c r="B125" s="25" t="s">
        <v>371</v>
      </c>
      <c r="C125" s="39">
        <v>0.4</v>
      </c>
      <c r="D125" s="4" t="s">
        <v>766</v>
      </c>
      <c r="E125" s="36">
        <f>36/57*64/100</f>
        <v>0.40421052631578946</v>
      </c>
      <c r="F125" s="7"/>
      <c r="G125" s="7"/>
      <c r="H125" s="7"/>
      <c r="I125" s="24"/>
    </row>
    <row r="126" spans="1:9" x14ac:dyDescent="0.15">
      <c r="A126" s="6"/>
      <c r="B126" s="17" t="s">
        <v>376</v>
      </c>
      <c r="C126" s="40">
        <v>0.24</v>
      </c>
      <c r="D126" s="10" t="s">
        <v>767</v>
      </c>
      <c r="E126" s="37">
        <f>21/57*64/100</f>
        <v>0.23578947368421052</v>
      </c>
      <c r="F126" s="7"/>
      <c r="H126" s="7"/>
      <c r="I126" s="7"/>
    </row>
    <row r="127" spans="1:9" x14ac:dyDescent="0.15">
      <c r="A127" s="6"/>
      <c r="B127" s="6" t="s">
        <v>370</v>
      </c>
      <c r="C127" s="41">
        <v>0.08</v>
      </c>
      <c r="D127" s="7" t="s">
        <v>766</v>
      </c>
      <c r="E127" s="36">
        <f>36/104*23/100</f>
        <v>7.9615384615384616E-2</v>
      </c>
      <c r="F127" s="7"/>
      <c r="H127" s="7"/>
      <c r="I127" s="7"/>
    </row>
    <row r="128" spans="1:9" x14ac:dyDescent="0.15">
      <c r="A128" s="6"/>
      <c r="B128" s="6" t="s">
        <v>514</v>
      </c>
      <c r="C128" s="41">
        <v>0.09</v>
      </c>
      <c r="D128" s="7" t="s">
        <v>734</v>
      </c>
      <c r="E128" s="38">
        <f>42/104*23/100</f>
        <v>9.2884615384615385E-2</v>
      </c>
      <c r="F128" s="7"/>
      <c r="G128" s="7"/>
      <c r="H128" s="7"/>
      <c r="I128" s="24"/>
    </row>
    <row r="129" spans="1:9" x14ac:dyDescent="0.15">
      <c r="A129" s="9"/>
      <c r="B129" s="9" t="s">
        <v>546</v>
      </c>
      <c r="C129" s="40">
        <v>0.06</v>
      </c>
      <c r="D129" s="10" t="s">
        <v>768</v>
      </c>
      <c r="E129" s="37">
        <f>26/104*23/100</f>
        <v>5.7500000000000002E-2</v>
      </c>
      <c r="F129" s="7"/>
      <c r="G129" s="7"/>
      <c r="H129" s="7"/>
      <c r="I129" s="24"/>
    </row>
    <row r="130" spans="1:9" x14ac:dyDescent="0.15">
      <c r="A130" s="3">
        <v>13</v>
      </c>
      <c r="B130" s="3" t="s">
        <v>528</v>
      </c>
      <c r="C130" s="39">
        <v>0.24</v>
      </c>
      <c r="D130" s="4" t="s">
        <v>769</v>
      </c>
      <c r="E130" s="36">
        <f>21/42*48/100</f>
        <v>0.24</v>
      </c>
      <c r="F130" s="7"/>
      <c r="G130" s="7"/>
      <c r="H130" s="7"/>
      <c r="I130" s="24"/>
    </row>
    <row r="131" spans="1:9" x14ac:dyDescent="0.15">
      <c r="A131" s="6"/>
      <c r="B131" s="6" t="s">
        <v>515</v>
      </c>
      <c r="C131" s="41">
        <v>0.24</v>
      </c>
      <c r="D131" s="14" t="s">
        <v>767</v>
      </c>
      <c r="E131" s="37">
        <f>21/42*48/100</f>
        <v>0.24</v>
      </c>
      <c r="F131" s="7"/>
      <c r="G131" s="7"/>
      <c r="H131" s="7"/>
      <c r="I131" s="24"/>
    </row>
    <row r="132" spans="1:9" x14ac:dyDescent="0.15">
      <c r="A132" s="6"/>
      <c r="B132" s="3" t="s">
        <v>370</v>
      </c>
      <c r="C132" s="39">
        <v>0.16</v>
      </c>
      <c r="D132" s="4" t="s">
        <v>724</v>
      </c>
      <c r="E132" s="36">
        <f>12/36*48/100</f>
        <v>0.16</v>
      </c>
      <c r="F132" s="7"/>
      <c r="G132" s="44"/>
      <c r="H132" s="7"/>
      <c r="I132" s="24"/>
    </row>
    <row r="133" spans="1:9" x14ac:dyDescent="0.15">
      <c r="A133" s="6"/>
      <c r="B133" s="9" t="s">
        <v>371</v>
      </c>
      <c r="C133" s="40">
        <v>0.32</v>
      </c>
      <c r="D133" s="10" t="s">
        <v>746</v>
      </c>
      <c r="E133" s="38">
        <f>24/36*48/100</f>
        <v>0.32</v>
      </c>
      <c r="F133" s="7"/>
      <c r="G133" s="7"/>
      <c r="H133" s="7"/>
      <c r="I133" s="24"/>
    </row>
    <row r="134" spans="1:9" x14ac:dyDescent="0.15">
      <c r="A134" s="6"/>
      <c r="B134" s="6" t="s">
        <v>514</v>
      </c>
      <c r="C134" s="41">
        <v>0.09</v>
      </c>
      <c r="D134" s="7" t="s">
        <v>770</v>
      </c>
      <c r="E134" s="36">
        <f>154/266*15/100</f>
        <v>8.6842105263157887E-2</v>
      </c>
      <c r="F134" s="7"/>
      <c r="G134" s="7"/>
      <c r="H134" s="7"/>
      <c r="I134" s="24"/>
    </row>
    <row r="135" spans="1:9" x14ac:dyDescent="0.15">
      <c r="A135" s="6"/>
      <c r="B135" s="6" t="s">
        <v>594</v>
      </c>
      <c r="C135" s="42">
        <v>0.06</v>
      </c>
      <c r="D135" s="7" t="s">
        <v>771</v>
      </c>
      <c r="E135" s="38">
        <f>104/266*15/100</f>
        <v>5.8646616541353377E-2</v>
      </c>
      <c r="F135" s="7"/>
      <c r="G135" s="7"/>
      <c r="H135" s="7"/>
      <c r="I135" s="45"/>
    </row>
    <row r="136" spans="1:9" x14ac:dyDescent="0.15">
      <c r="A136" s="9"/>
      <c r="B136" s="9" t="s">
        <v>595</v>
      </c>
      <c r="C136" s="40">
        <v>5.0000000000000001E-3</v>
      </c>
      <c r="D136" s="10" t="s">
        <v>772</v>
      </c>
      <c r="E136" s="37">
        <f>8/266*15/100</f>
        <v>4.5112781954887212E-3</v>
      </c>
      <c r="F136" s="7"/>
      <c r="G136" s="7"/>
      <c r="H136" s="7"/>
      <c r="I136" s="45"/>
    </row>
    <row r="137" spans="1:9" x14ac:dyDescent="0.15">
      <c r="A137" s="6">
        <v>14</v>
      </c>
      <c r="B137" s="3" t="s">
        <v>367</v>
      </c>
      <c r="C137" s="39">
        <v>0.23</v>
      </c>
      <c r="D137" s="4" t="s">
        <v>732</v>
      </c>
      <c r="E137" s="36">
        <f>35/107*71/100</f>
        <v>0.23224299065420559</v>
      </c>
      <c r="F137" s="7"/>
      <c r="G137" s="7"/>
      <c r="H137" s="7"/>
      <c r="I137" s="45"/>
    </row>
    <row r="138" spans="1:9" x14ac:dyDescent="0.15">
      <c r="A138" s="6"/>
      <c r="B138" s="6" t="s">
        <v>370</v>
      </c>
      <c r="C138" s="41">
        <v>0.24</v>
      </c>
      <c r="D138" s="7" t="s">
        <v>766</v>
      </c>
      <c r="E138" s="38">
        <f>36/107*71/100</f>
        <v>0.2388785046728972</v>
      </c>
      <c r="F138" s="7"/>
      <c r="G138" s="43"/>
      <c r="H138" s="18"/>
      <c r="I138" s="18"/>
    </row>
    <row r="139" spans="1:9" x14ac:dyDescent="0.15">
      <c r="A139" s="6"/>
      <c r="B139" s="6" t="s">
        <v>574</v>
      </c>
      <c r="C139" s="42">
        <v>0.24</v>
      </c>
      <c r="D139" s="7" t="s">
        <v>766</v>
      </c>
      <c r="E139" s="37">
        <f>36/107*71/100</f>
        <v>0.2388785046728972</v>
      </c>
      <c r="F139" s="7"/>
      <c r="G139" s="7"/>
      <c r="H139" s="7"/>
      <c r="I139" s="24"/>
    </row>
    <row r="140" spans="1:9" x14ac:dyDescent="0.15">
      <c r="A140" s="6"/>
      <c r="B140" s="3" t="s">
        <v>369</v>
      </c>
      <c r="C140" s="39">
        <v>0.02</v>
      </c>
      <c r="D140" s="4" t="s">
        <v>773</v>
      </c>
      <c r="E140" s="36">
        <f>16/81*10/100</f>
        <v>1.9753086419753086E-2</v>
      </c>
      <c r="F140" s="7"/>
      <c r="G140" s="7"/>
      <c r="H140" s="7"/>
      <c r="I140" s="24"/>
    </row>
    <row r="141" spans="1:9" x14ac:dyDescent="0.15">
      <c r="A141" s="6"/>
      <c r="B141" s="9" t="s">
        <v>546</v>
      </c>
      <c r="C141" s="40">
        <v>0.08</v>
      </c>
      <c r="D141" s="10" t="s">
        <v>774</v>
      </c>
      <c r="E141" s="37">
        <f>65/81*10/100</f>
        <v>8.0246913580246909E-2</v>
      </c>
      <c r="F141" s="7"/>
      <c r="G141" s="7"/>
      <c r="H141" s="7"/>
      <c r="I141" s="24"/>
    </row>
    <row r="142" spans="1:9" x14ac:dyDescent="0.15">
      <c r="A142" s="6"/>
      <c r="B142" s="6" t="s">
        <v>514</v>
      </c>
      <c r="C142" s="41">
        <v>0.1</v>
      </c>
      <c r="D142" s="7" t="s">
        <v>727</v>
      </c>
      <c r="E142" s="36">
        <f>14/56*42/100</f>
        <v>0.105</v>
      </c>
      <c r="F142" s="7"/>
      <c r="G142" s="7"/>
      <c r="H142" s="7"/>
      <c r="I142" s="24"/>
    </row>
    <row r="143" spans="1:9" x14ac:dyDescent="0.15">
      <c r="A143" s="9"/>
      <c r="B143" s="9" t="s">
        <v>515</v>
      </c>
      <c r="C143" s="40">
        <v>0.32</v>
      </c>
      <c r="D143" s="10" t="s">
        <v>752</v>
      </c>
      <c r="E143" s="37">
        <f>42/56*42/100</f>
        <v>0.315</v>
      </c>
      <c r="F143" s="7"/>
      <c r="G143" s="7"/>
      <c r="H143" s="7"/>
      <c r="I143" s="24"/>
    </row>
    <row r="144" spans="1:9" x14ac:dyDescent="0.15">
      <c r="A144" s="3">
        <v>15</v>
      </c>
      <c r="B144" s="3" t="s">
        <v>528</v>
      </c>
      <c r="C144" s="39">
        <v>0.22</v>
      </c>
      <c r="D144" s="4" t="s">
        <v>775</v>
      </c>
      <c r="E144" s="36">
        <f>49/73*33/100</f>
        <v>0.22150684931506848</v>
      </c>
      <c r="F144" s="7"/>
      <c r="G144" s="7"/>
      <c r="H144" s="7"/>
      <c r="I144" s="24"/>
    </row>
    <row r="145" spans="1:9" x14ac:dyDescent="0.15">
      <c r="A145" s="6"/>
      <c r="B145" s="6" t="s">
        <v>369</v>
      </c>
      <c r="C145" s="41">
        <v>0.11</v>
      </c>
      <c r="D145" s="7" t="s">
        <v>776</v>
      </c>
      <c r="E145" s="37">
        <f>24/73*33/100</f>
        <v>0.1084931506849315</v>
      </c>
      <c r="F145" s="7"/>
      <c r="G145" s="7"/>
      <c r="H145" s="7"/>
      <c r="I145" s="24"/>
    </row>
    <row r="146" spans="1:9" x14ac:dyDescent="0.15">
      <c r="A146" s="6"/>
      <c r="B146" s="3" t="s">
        <v>370</v>
      </c>
      <c r="C146" s="39">
        <v>0.36</v>
      </c>
      <c r="D146" s="4" t="s">
        <v>766</v>
      </c>
      <c r="E146" s="36">
        <f>36/90*88/100</f>
        <v>0.35200000000000004</v>
      </c>
      <c r="F146" s="7"/>
      <c r="G146" s="7"/>
      <c r="H146" s="7"/>
      <c r="I146" s="24"/>
    </row>
    <row r="147" spans="1:9" x14ac:dyDescent="0.15">
      <c r="A147" s="6"/>
      <c r="B147" s="6" t="s">
        <v>574</v>
      </c>
      <c r="C147" s="42">
        <v>0.12</v>
      </c>
      <c r="D147" s="7" t="s">
        <v>724</v>
      </c>
      <c r="E147" s="38">
        <f>12/90*88/100</f>
        <v>0.11733333333333333</v>
      </c>
      <c r="F147" s="7"/>
      <c r="G147" s="7"/>
      <c r="H147" s="7"/>
      <c r="I147" s="24"/>
    </row>
    <row r="148" spans="1:9" x14ac:dyDescent="0.15">
      <c r="A148" s="6"/>
      <c r="B148" s="9" t="s">
        <v>376</v>
      </c>
      <c r="C148" s="40">
        <v>0.4</v>
      </c>
      <c r="D148" s="10" t="s">
        <v>777</v>
      </c>
      <c r="E148" s="37">
        <f>42/90*88/100</f>
        <v>0.41066666666666668</v>
      </c>
      <c r="F148" s="7"/>
      <c r="G148" s="7"/>
      <c r="H148" s="7"/>
      <c r="I148" s="24"/>
    </row>
    <row r="149" spans="1:9" x14ac:dyDescent="0.15">
      <c r="A149" s="6"/>
      <c r="B149" s="6" t="s">
        <v>514</v>
      </c>
      <c r="C149" s="41">
        <v>0.12</v>
      </c>
      <c r="D149" s="7" t="s">
        <v>751</v>
      </c>
      <c r="E149" s="36">
        <f>126/230*22/100</f>
        <v>0.12052173913043478</v>
      </c>
      <c r="F149" s="7"/>
      <c r="G149" s="7"/>
      <c r="H149" s="7"/>
      <c r="I149" s="24"/>
    </row>
    <row r="150" spans="1:9" x14ac:dyDescent="0.15">
      <c r="A150" s="9"/>
      <c r="B150" s="9" t="s">
        <v>547</v>
      </c>
      <c r="C150" s="40">
        <v>0.1</v>
      </c>
      <c r="D150" s="10" t="s">
        <v>778</v>
      </c>
      <c r="E150" s="38">
        <f>104/230*22/100</f>
        <v>9.947826086956521E-2</v>
      </c>
      <c r="F150" s="7"/>
      <c r="G150" s="7"/>
      <c r="H150" s="7"/>
      <c r="I150" s="24"/>
    </row>
    <row r="151" spans="1:9" x14ac:dyDescent="0.15">
      <c r="A151" s="3">
        <v>16</v>
      </c>
      <c r="B151" s="3" t="s">
        <v>369</v>
      </c>
      <c r="C151" s="39">
        <v>0.4</v>
      </c>
      <c r="D151" s="4"/>
      <c r="E151" s="35"/>
      <c r="F151" s="7"/>
      <c r="G151" s="44"/>
      <c r="H151" s="7"/>
      <c r="I151" s="24"/>
    </row>
    <row r="152" spans="1:9" x14ac:dyDescent="0.15">
      <c r="A152" s="6"/>
      <c r="B152" s="3" t="s">
        <v>370</v>
      </c>
      <c r="C152" s="39">
        <v>0.48</v>
      </c>
      <c r="D152" s="4" t="s">
        <v>779</v>
      </c>
      <c r="E152" s="36">
        <f>60/123*96/100</f>
        <v>0.46829268292682924</v>
      </c>
      <c r="F152" s="7"/>
      <c r="G152" s="7"/>
      <c r="H152" s="7"/>
      <c r="I152" s="24"/>
    </row>
    <row r="153" spans="1:9" x14ac:dyDescent="0.15">
      <c r="A153" s="6"/>
      <c r="B153" s="9" t="s">
        <v>515</v>
      </c>
      <c r="C153" s="40">
        <v>0.48</v>
      </c>
      <c r="D153" s="10" t="s">
        <v>780</v>
      </c>
      <c r="E153" s="37">
        <f>63/123*96/100</f>
        <v>0.49170731707317072</v>
      </c>
      <c r="F153" s="7"/>
      <c r="G153" s="7"/>
      <c r="H153" s="7"/>
      <c r="I153" s="24"/>
    </row>
    <row r="154" spans="1:9" x14ac:dyDescent="0.15">
      <c r="A154" s="6"/>
      <c r="B154" s="6" t="s">
        <v>514</v>
      </c>
      <c r="C154" s="41">
        <v>0.15</v>
      </c>
      <c r="D154" s="7" t="s">
        <v>781</v>
      </c>
      <c r="E154" s="36">
        <f>98/176*27/100</f>
        <v>0.15034090909090908</v>
      </c>
      <c r="F154" s="7"/>
      <c r="G154" s="7"/>
      <c r="H154" s="7"/>
      <c r="I154" s="45"/>
    </row>
    <row r="155" spans="1:9" x14ac:dyDescent="0.15">
      <c r="A155" s="9"/>
      <c r="B155" s="9" t="s">
        <v>547</v>
      </c>
      <c r="C155" s="40">
        <v>0.12</v>
      </c>
      <c r="D155" s="10" t="s">
        <v>782</v>
      </c>
      <c r="E155" s="37">
        <f>78/176*27/100</f>
        <v>0.1196590909090909</v>
      </c>
      <c r="F155" s="7"/>
      <c r="G155" s="7"/>
      <c r="H155" s="7"/>
      <c r="I155" s="45"/>
    </row>
    <row r="156" spans="1:9" x14ac:dyDescent="0.15">
      <c r="A156" s="3">
        <v>17</v>
      </c>
      <c r="B156" s="3" t="s">
        <v>369</v>
      </c>
      <c r="C156" s="39">
        <v>0.48</v>
      </c>
      <c r="D156" s="4"/>
      <c r="E156" s="35"/>
      <c r="G156" s="7"/>
      <c r="H156" s="7"/>
      <c r="I156" s="45"/>
    </row>
    <row r="157" spans="1:9" x14ac:dyDescent="0.15">
      <c r="A157" s="6"/>
      <c r="B157" s="3" t="s">
        <v>370</v>
      </c>
      <c r="C157" s="39">
        <v>0.48</v>
      </c>
      <c r="D157" s="4" t="s">
        <v>783</v>
      </c>
      <c r="E157" s="36">
        <f>60/123*96/100</f>
        <v>0.46829268292682924</v>
      </c>
      <c r="G157" s="43"/>
      <c r="H157" s="18"/>
      <c r="I157" s="18"/>
    </row>
    <row r="158" spans="1:9" x14ac:dyDescent="0.15">
      <c r="A158" s="6"/>
      <c r="B158" s="9" t="s">
        <v>376</v>
      </c>
      <c r="C158" s="40">
        <v>0.48</v>
      </c>
      <c r="D158" s="10" t="s">
        <v>784</v>
      </c>
      <c r="E158" s="37">
        <f>63/123*96/100</f>
        <v>0.49170731707317072</v>
      </c>
      <c r="G158" s="7"/>
      <c r="H158" s="7"/>
      <c r="I158" s="24"/>
    </row>
    <row r="159" spans="1:9" x14ac:dyDescent="0.15">
      <c r="A159" s="6"/>
      <c r="B159" s="6" t="s">
        <v>514</v>
      </c>
      <c r="C159" s="41">
        <v>0.15</v>
      </c>
      <c r="D159" s="7" t="s">
        <v>785</v>
      </c>
      <c r="E159" s="36">
        <f>98/176*27/100</f>
        <v>0.15034090909090908</v>
      </c>
      <c r="G159" s="7"/>
      <c r="H159" s="7"/>
      <c r="I159" s="24"/>
    </row>
    <row r="160" spans="1:9" x14ac:dyDescent="0.15">
      <c r="A160" s="9"/>
      <c r="B160" s="9" t="s">
        <v>546</v>
      </c>
      <c r="C160" s="40">
        <v>0.12</v>
      </c>
      <c r="D160" s="10" t="s">
        <v>782</v>
      </c>
      <c r="E160" s="37">
        <f>78/176*27/100</f>
        <v>0.1196590909090909</v>
      </c>
      <c r="G160" s="7"/>
      <c r="H160" s="7"/>
      <c r="I160" s="24"/>
    </row>
    <row r="161" spans="7:9" x14ac:dyDescent="0.15">
      <c r="G161" s="7"/>
      <c r="H161" s="7"/>
      <c r="I161" s="24"/>
    </row>
    <row r="162" spans="7:9" x14ac:dyDescent="0.15">
      <c r="G162" s="7"/>
      <c r="H162" s="7"/>
      <c r="I162" s="24"/>
    </row>
    <row r="163" spans="7:9" x14ac:dyDescent="0.15">
      <c r="G163" s="7"/>
      <c r="H163" s="7"/>
      <c r="I163" s="24"/>
    </row>
    <row r="164" spans="7:9" x14ac:dyDescent="0.15">
      <c r="G164" s="7"/>
      <c r="H164" s="7"/>
      <c r="I164" s="24"/>
    </row>
    <row r="165" spans="7:9" x14ac:dyDescent="0.15">
      <c r="G165" s="7"/>
      <c r="H165" s="7"/>
      <c r="I165" s="24"/>
    </row>
    <row r="166" spans="7:9" x14ac:dyDescent="0.15">
      <c r="G166" s="7"/>
      <c r="H166" s="7"/>
      <c r="I166" s="24"/>
    </row>
    <row r="167" spans="7:9" x14ac:dyDescent="0.15">
      <c r="G167" s="7"/>
      <c r="H167" s="7"/>
      <c r="I167" s="24"/>
    </row>
    <row r="168" spans="7:9" x14ac:dyDescent="0.15">
      <c r="G168" s="7"/>
      <c r="H168" s="7"/>
      <c r="I168" s="24"/>
    </row>
    <row r="169" spans="7:9" x14ac:dyDescent="0.15">
      <c r="G169" s="7"/>
      <c r="H169" s="7"/>
      <c r="I169" s="24"/>
    </row>
    <row r="170" spans="7:9" x14ac:dyDescent="0.15">
      <c r="G170" s="44"/>
      <c r="H170" s="7"/>
      <c r="I170" s="24"/>
    </row>
    <row r="171" spans="7:9" x14ac:dyDescent="0.15">
      <c r="G171" s="7"/>
      <c r="H171" s="7"/>
      <c r="I171" s="24"/>
    </row>
    <row r="172" spans="7:9" x14ac:dyDescent="0.15">
      <c r="G172" s="7"/>
      <c r="H172" s="7"/>
      <c r="I172" s="24"/>
    </row>
    <row r="173" spans="7:9" x14ac:dyDescent="0.15">
      <c r="G173" s="7"/>
      <c r="H173" s="7"/>
      <c r="I173" s="45"/>
    </row>
    <row r="174" spans="7:9" x14ac:dyDescent="0.15">
      <c r="G174" s="7"/>
      <c r="H174" s="7"/>
      <c r="I174" s="45"/>
    </row>
    <row r="175" spans="7:9" x14ac:dyDescent="0.15">
      <c r="G175" s="7"/>
      <c r="H175" s="7"/>
      <c r="I175" s="45"/>
    </row>
    <row r="176" spans="7:9" x14ac:dyDescent="0.15">
      <c r="G176" s="43"/>
      <c r="H176" s="18"/>
      <c r="I176" s="18"/>
    </row>
    <row r="177" spans="7:9" x14ac:dyDescent="0.15">
      <c r="G177" s="7"/>
      <c r="H177" s="7"/>
      <c r="I177" s="24"/>
    </row>
    <row r="178" spans="7:9" x14ac:dyDescent="0.15">
      <c r="G178" s="7"/>
      <c r="H178" s="7"/>
      <c r="I178" s="24"/>
    </row>
    <row r="179" spans="7:9" x14ac:dyDescent="0.15">
      <c r="G179" s="7"/>
      <c r="H179" s="7"/>
      <c r="I179" s="24"/>
    </row>
    <row r="180" spans="7:9" x14ac:dyDescent="0.15">
      <c r="G180" s="7"/>
      <c r="H180" s="7"/>
      <c r="I180" s="24"/>
    </row>
    <row r="181" spans="7:9" x14ac:dyDescent="0.15">
      <c r="G181" s="7"/>
      <c r="H181" s="7"/>
      <c r="I181" s="24"/>
    </row>
    <row r="182" spans="7:9" x14ac:dyDescent="0.15">
      <c r="G182" s="7"/>
      <c r="H182" s="7"/>
      <c r="I182" s="24"/>
    </row>
    <row r="183" spans="7:9" x14ac:dyDescent="0.15">
      <c r="G183" s="7"/>
      <c r="H183" s="7"/>
      <c r="I183" s="24"/>
    </row>
    <row r="184" spans="7:9" x14ac:dyDescent="0.15">
      <c r="G184" s="7"/>
      <c r="H184" s="7"/>
      <c r="I184" s="24"/>
    </row>
    <row r="185" spans="7:9" x14ac:dyDescent="0.15">
      <c r="G185" s="7"/>
      <c r="H185" s="7"/>
      <c r="I185" s="24"/>
    </row>
    <row r="186" spans="7:9" x14ac:dyDescent="0.15">
      <c r="G186" s="7"/>
      <c r="H186" s="7"/>
      <c r="I186" s="24"/>
    </row>
    <row r="187" spans="7:9" x14ac:dyDescent="0.15">
      <c r="G187" s="7"/>
      <c r="H187" s="7"/>
      <c r="I187" s="24"/>
    </row>
    <row r="188" spans="7:9" x14ac:dyDescent="0.15">
      <c r="G188" s="7"/>
      <c r="H188" s="7"/>
      <c r="I188" s="24"/>
    </row>
    <row r="189" spans="7:9" x14ac:dyDescent="0.15">
      <c r="G189" s="44"/>
      <c r="H189" s="7"/>
      <c r="I189" s="24"/>
    </row>
    <row r="190" spans="7:9" x14ac:dyDescent="0.15">
      <c r="G190" s="7"/>
      <c r="H190" s="7"/>
      <c r="I190" s="24"/>
    </row>
    <row r="191" spans="7:9" x14ac:dyDescent="0.15">
      <c r="G191" s="7"/>
      <c r="H191" s="7"/>
      <c r="I191" s="24"/>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3"/>
  <sheetViews>
    <sheetView topLeftCell="A19" workbookViewId="0">
      <selection activeCell="B14" sqref="B14"/>
    </sheetView>
  </sheetViews>
  <sheetFormatPr defaultRowHeight="13.5" x14ac:dyDescent="0.15"/>
  <cols>
    <col min="1" max="1" width="5.25" customWidth="1"/>
    <col min="2" max="2" width="19.875" customWidth="1"/>
    <col min="3" max="3" width="5.625" customWidth="1"/>
    <col min="4" max="4" width="7.25" customWidth="1"/>
    <col min="5" max="13" width="4.75" customWidth="1"/>
    <col min="14" max="15" width="5.625" customWidth="1"/>
    <col min="16" max="16" width="9" customWidth="1"/>
    <col min="17" max="17" width="5.625" customWidth="1"/>
    <col min="18" max="18" width="7.875" customWidth="1"/>
    <col min="19" max="19" width="30.625" customWidth="1"/>
  </cols>
  <sheetData>
    <row r="1" spans="1:2" x14ac:dyDescent="0.15">
      <c r="A1" t="s">
        <v>710</v>
      </c>
    </row>
    <row r="2" spans="1:2" x14ac:dyDescent="0.15">
      <c r="A2" t="s">
        <v>711</v>
      </c>
    </row>
    <row r="4" spans="1:2" x14ac:dyDescent="0.15">
      <c r="A4" t="s">
        <v>667</v>
      </c>
    </row>
    <row r="5" spans="1:2" x14ac:dyDescent="0.15">
      <c r="B5" t="s">
        <v>688</v>
      </c>
    </row>
    <row r="6" spans="1:2" x14ac:dyDescent="0.15">
      <c r="B6" t="s">
        <v>685</v>
      </c>
    </row>
    <row r="7" spans="1:2" x14ac:dyDescent="0.15">
      <c r="B7" t="s">
        <v>686</v>
      </c>
    </row>
    <row r="8" spans="1:2" x14ac:dyDescent="0.15">
      <c r="B8" t="s">
        <v>687</v>
      </c>
    </row>
    <row r="9" spans="1:2" x14ac:dyDescent="0.15">
      <c r="B9" t="s">
        <v>671</v>
      </c>
    </row>
    <row r="10" spans="1:2" x14ac:dyDescent="0.15">
      <c r="B10" t="s">
        <v>689</v>
      </c>
    </row>
    <row r="11" spans="1:2" x14ac:dyDescent="0.15">
      <c r="B11" t="s">
        <v>696</v>
      </c>
    </row>
    <row r="12" spans="1:2" x14ac:dyDescent="0.15">
      <c r="B12" t="s">
        <v>672</v>
      </c>
    </row>
    <row r="13" spans="1:2" x14ac:dyDescent="0.15">
      <c r="B13" t="s">
        <v>810</v>
      </c>
    </row>
    <row r="14" spans="1:2" x14ac:dyDescent="0.15">
      <c r="B14" t="s">
        <v>715</v>
      </c>
    </row>
    <row r="15" spans="1:2" x14ac:dyDescent="0.15">
      <c r="B15" t="s">
        <v>714</v>
      </c>
    </row>
    <row r="16" spans="1:2" x14ac:dyDescent="0.15">
      <c r="B16" t="s">
        <v>673</v>
      </c>
    </row>
    <row r="17" spans="1:19" x14ac:dyDescent="0.15">
      <c r="B17" t="s">
        <v>674</v>
      </c>
    </row>
    <row r="18" spans="1:19" x14ac:dyDescent="0.15">
      <c r="B18" t="s">
        <v>690</v>
      </c>
    </row>
    <row r="19" spans="1:19" x14ac:dyDescent="0.15">
      <c r="B19" t="s">
        <v>713</v>
      </c>
    </row>
    <row r="20" spans="1:19" x14ac:dyDescent="0.15">
      <c r="C20" s="12" t="s">
        <v>677</v>
      </c>
      <c r="D20" s="50"/>
      <c r="E20" s="16" t="s">
        <v>675</v>
      </c>
      <c r="F20" s="16" t="s">
        <v>676</v>
      </c>
      <c r="G20" s="16" t="s">
        <v>679</v>
      </c>
      <c r="H20" s="16" t="s">
        <v>680</v>
      </c>
      <c r="I20" s="16" t="s">
        <v>681</v>
      </c>
      <c r="J20" s="16" t="s">
        <v>682</v>
      </c>
      <c r="K20" s="48" t="s">
        <v>683</v>
      </c>
      <c r="L20" s="16" t="s">
        <v>684</v>
      </c>
      <c r="M20" s="7"/>
    </row>
    <row r="21" spans="1:19" x14ac:dyDescent="0.15">
      <c r="C21" s="12" t="s">
        <v>678</v>
      </c>
      <c r="D21" s="50"/>
      <c r="E21" s="16">
        <v>0.08</v>
      </c>
      <c r="F21" s="16">
        <v>0.04</v>
      </c>
      <c r="G21" s="16">
        <v>0.1</v>
      </c>
      <c r="H21" s="16">
        <v>0.08</v>
      </c>
      <c r="I21" s="16">
        <v>0.1</v>
      </c>
      <c r="J21" s="16">
        <v>0.12</v>
      </c>
      <c r="K21" s="16">
        <v>0.22</v>
      </c>
      <c r="L21" s="49">
        <v>-0.05</v>
      </c>
      <c r="M21" s="7"/>
    </row>
    <row r="22" spans="1:19" x14ac:dyDescent="0.15">
      <c r="D22" t="s">
        <v>697</v>
      </c>
    </row>
    <row r="23" spans="1:19" x14ac:dyDescent="0.15">
      <c r="D23" t="s">
        <v>693</v>
      </c>
    </row>
    <row r="24" spans="1:19" x14ac:dyDescent="0.15">
      <c r="D24" t="s">
        <v>692</v>
      </c>
    </row>
    <row r="25" spans="1:19" x14ac:dyDescent="0.15">
      <c r="B25" t="s">
        <v>694</v>
      </c>
    </row>
    <row r="26" spans="1:19" x14ac:dyDescent="0.15">
      <c r="B26" s="53" t="s">
        <v>695</v>
      </c>
    </row>
    <row r="28" spans="1:19" x14ac:dyDescent="0.15">
      <c r="A28" s="12" t="s">
        <v>197</v>
      </c>
      <c r="B28" s="51" t="s">
        <v>670</v>
      </c>
      <c r="C28" s="51" t="s">
        <v>181</v>
      </c>
      <c r="D28" s="51" t="s">
        <v>198</v>
      </c>
      <c r="E28" s="51" t="s">
        <v>199</v>
      </c>
      <c r="F28" s="51" t="s">
        <v>200</v>
      </c>
      <c r="G28" s="51" t="s">
        <v>0</v>
      </c>
      <c r="H28" s="51" t="s">
        <v>1</v>
      </c>
      <c r="I28" s="51" t="s">
        <v>82</v>
      </c>
      <c r="J28" s="51" t="s">
        <v>2</v>
      </c>
      <c r="K28" s="51" t="s">
        <v>3</v>
      </c>
      <c r="L28" s="51" t="s">
        <v>442</v>
      </c>
      <c r="M28" s="51" t="s">
        <v>443</v>
      </c>
      <c r="N28" s="51" t="s">
        <v>201</v>
      </c>
      <c r="O28" s="51" t="s">
        <v>391</v>
      </c>
      <c r="P28" s="51" t="s">
        <v>183</v>
      </c>
      <c r="Q28" s="51" t="s">
        <v>182</v>
      </c>
      <c r="R28" s="51" t="s">
        <v>668</v>
      </c>
      <c r="S28" s="52" t="s">
        <v>669</v>
      </c>
    </row>
    <row r="29" spans="1:19" x14ac:dyDescent="0.15">
      <c r="A29" s="1">
        <v>0</v>
      </c>
      <c r="B29" t="s">
        <v>202</v>
      </c>
      <c r="C29">
        <v>0</v>
      </c>
      <c r="D29" s="47">
        <f t="shared" ref="D29:D37" si="0">(C29+3)*(H29+9)*0.25*F29^1.5</f>
        <v>8.5865010335991929</v>
      </c>
      <c r="E29">
        <v>5</v>
      </c>
      <c r="F29">
        <v>0.8</v>
      </c>
      <c r="G29">
        <v>6</v>
      </c>
      <c r="H29">
        <v>7</v>
      </c>
      <c r="I29">
        <v>4</v>
      </c>
      <c r="J29">
        <v>9</v>
      </c>
      <c r="K29">
        <v>7</v>
      </c>
      <c r="L29">
        <v>0</v>
      </c>
      <c r="M29">
        <v>0</v>
      </c>
      <c r="N29">
        <v>0</v>
      </c>
      <c r="O29">
        <v>0.4</v>
      </c>
      <c r="P29" s="13">
        <f t="shared" ref="P29:P37" si="1">(((C29+1.8)^1.4*(F29^1.25)*(-0.25*(E29-10)+G29+H29+I29+J29+K29+L29+M29))^(1+N29*0.4)+N29*200+D29*2)*(1+O29*0.25)*0.8</f>
        <v>67.038525169488551</v>
      </c>
      <c r="Q29">
        <v>0</v>
      </c>
      <c r="R29" s="47">
        <f t="shared" ref="R29:R37" si="2">(G29)*(F29+2)*(C29*0.9+4)*0.045</f>
        <v>3.0239999999999996</v>
      </c>
    </row>
    <row r="30" spans="1:19" x14ac:dyDescent="0.15">
      <c r="A30" s="1">
        <v>0</v>
      </c>
      <c r="B30" t="s">
        <v>206</v>
      </c>
      <c r="C30">
        <v>0</v>
      </c>
      <c r="D30" s="47">
        <f t="shared" si="0"/>
        <v>3.97747564417433</v>
      </c>
      <c r="E30">
        <v>8</v>
      </c>
      <c r="F30">
        <v>0.5</v>
      </c>
      <c r="G30">
        <v>4</v>
      </c>
      <c r="H30">
        <v>6</v>
      </c>
      <c r="I30">
        <v>3</v>
      </c>
      <c r="J30">
        <v>6</v>
      </c>
      <c r="K30">
        <v>5</v>
      </c>
      <c r="L30">
        <v>0</v>
      </c>
      <c r="M30">
        <v>0</v>
      </c>
      <c r="N30">
        <v>0.08</v>
      </c>
      <c r="O30">
        <v>0.4</v>
      </c>
      <c r="P30" s="13">
        <f t="shared" si="1"/>
        <v>43.914835352964104</v>
      </c>
      <c r="Q30">
        <v>0</v>
      </c>
      <c r="R30" s="47">
        <f t="shared" si="2"/>
        <v>1.7999999999999998</v>
      </c>
      <c r="S30" t="s">
        <v>207</v>
      </c>
    </row>
    <row r="31" spans="1:19" x14ac:dyDescent="0.15">
      <c r="A31" s="1">
        <v>0</v>
      </c>
      <c r="B31" t="s">
        <v>208</v>
      </c>
      <c r="C31">
        <v>1</v>
      </c>
      <c r="D31" s="47">
        <f t="shared" si="0"/>
        <v>11.448668044798923</v>
      </c>
      <c r="E31">
        <v>6</v>
      </c>
      <c r="F31">
        <v>0.8</v>
      </c>
      <c r="G31">
        <v>6</v>
      </c>
      <c r="H31">
        <v>7</v>
      </c>
      <c r="I31">
        <v>6</v>
      </c>
      <c r="J31">
        <v>8</v>
      </c>
      <c r="K31">
        <v>8</v>
      </c>
      <c r="L31">
        <v>0</v>
      </c>
      <c r="M31">
        <v>0</v>
      </c>
      <c r="N31">
        <v>0</v>
      </c>
      <c r="O31">
        <v>0.4</v>
      </c>
      <c r="P31" s="13">
        <f t="shared" si="1"/>
        <v>121.46352473918817</v>
      </c>
      <c r="Q31">
        <v>0</v>
      </c>
      <c r="R31" s="47">
        <f t="shared" si="2"/>
        <v>3.7043999999999997</v>
      </c>
    </row>
    <row r="32" spans="1:19" x14ac:dyDescent="0.15">
      <c r="A32" s="1">
        <v>0</v>
      </c>
      <c r="B32" t="s">
        <v>333</v>
      </c>
      <c r="C32">
        <v>1</v>
      </c>
      <c r="D32" s="47">
        <f t="shared" si="0"/>
        <v>11.448668044798923</v>
      </c>
      <c r="E32">
        <v>7</v>
      </c>
      <c r="F32">
        <v>0.8</v>
      </c>
      <c r="G32">
        <v>6</v>
      </c>
      <c r="H32">
        <v>7</v>
      </c>
      <c r="I32">
        <v>6</v>
      </c>
      <c r="J32">
        <v>7</v>
      </c>
      <c r="K32">
        <v>7</v>
      </c>
      <c r="L32">
        <v>0</v>
      </c>
      <c r="M32">
        <v>0</v>
      </c>
      <c r="N32">
        <v>0.1</v>
      </c>
      <c r="O32">
        <v>0.4</v>
      </c>
      <c r="P32" s="13">
        <f t="shared" si="1"/>
        <v>152.29210811432938</v>
      </c>
      <c r="Q32">
        <v>0</v>
      </c>
      <c r="R32" s="47">
        <f t="shared" si="2"/>
        <v>3.7043999999999997</v>
      </c>
      <c r="S32" t="s">
        <v>205</v>
      </c>
    </row>
    <row r="33" spans="1:19" x14ac:dyDescent="0.15">
      <c r="A33" s="1">
        <v>0</v>
      </c>
      <c r="B33" t="s">
        <v>204</v>
      </c>
      <c r="C33">
        <v>2</v>
      </c>
      <c r="D33" s="47">
        <f t="shared" si="0"/>
        <v>9.517007801825109</v>
      </c>
      <c r="E33">
        <v>3</v>
      </c>
      <c r="F33">
        <v>0.7</v>
      </c>
      <c r="G33">
        <v>4</v>
      </c>
      <c r="H33">
        <v>4</v>
      </c>
      <c r="I33">
        <v>4</v>
      </c>
      <c r="J33">
        <v>8</v>
      </c>
      <c r="K33">
        <v>7</v>
      </c>
      <c r="L33">
        <v>0</v>
      </c>
      <c r="M33">
        <v>0</v>
      </c>
      <c r="N33">
        <v>0.1</v>
      </c>
      <c r="O33">
        <v>0.4</v>
      </c>
      <c r="P33" s="13">
        <f t="shared" si="1"/>
        <v>161.4829655004329</v>
      </c>
      <c r="Q33">
        <v>0</v>
      </c>
      <c r="R33" s="47">
        <f t="shared" si="2"/>
        <v>2.8188</v>
      </c>
      <c r="S33" t="s">
        <v>329</v>
      </c>
    </row>
    <row r="34" spans="1:19" x14ac:dyDescent="0.15">
      <c r="A34" s="1">
        <v>0</v>
      </c>
      <c r="B34" t="s">
        <v>209</v>
      </c>
      <c r="C34">
        <v>2</v>
      </c>
      <c r="D34" s="47">
        <f t="shared" si="0"/>
        <v>13.909472941129003</v>
      </c>
      <c r="E34">
        <v>9</v>
      </c>
      <c r="F34">
        <v>0.7</v>
      </c>
      <c r="G34">
        <v>5</v>
      </c>
      <c r="H34">
        <v>10</v>
      </c>
      <c r="I34">
        <v>2</v>
      </c>
      <c r="J34">
        <v>2</v>
      </c>
      <c r="K34">
        <v>6</v>
      </c>
      <c r="L34">
        <v>0</v>
      </c>
      <c r="M34">
        <v>0</v>
      </c>
      <c r="N34">
        <v>0</v>
      </c>
      <c r="O34">
        <v>0.4</v>
      </c>
      <c r="P34" s="13">
        <f t="shared" si="1"/>
        <v>116.69823512020025</v>
      </c>
      <c r="Q34">
        <v>0</v>
      </c>
      <c r="R34" s="47">
        <f t="shared" si="2"/>
        <v>3.5234999999999999</v>
      </c>
    </row>
    <row r="35" spans="1:19" x14ac:dyDescent="0.15">
      <c r="A35" s="1">
        <v>0</v>
      </c>
      <c r="B35" t="s">
        <v>210</v>
      </c>
      <c r="C35">
        <v>4</v>
      </c>
      <c r="D35" s="47">
        <f t="shared" si="0"/>
        <v>42.398097687278387</v>
      </c>
      <c r="E35">
        <v>4</v>
      </c>
      <c r="F35">
        <v>1.1000000000000001</v>
      </c>
      <c r="G35">
        <v>10</v>
      </c>
      <c r="H35">
        <v>12</v>
      </c>
      <c r="I35">
        <v>4</v>
      </c>
      <c r="J35">
        <v>8</v>
      </c>
      <c r="K35">
        <v>6</v>
      </c>
      <c r="L35">
        <v>1</v>
      </c>
      <c r="M35">
        <v>0</v>
      </c>
      <c r="N35">
        <v>0</v>
      </c>
      <c r="O35">
        <v>0.4</v>
      </c>
      <c r="P35" s="13">
        <f t="shared" si="1"/>
        <v>568.26213638839386</v>
      </c>
      <c r="Q35">
        <v>1</v>
      </c>
      <c r="R35" s="47">
        <f t="shared" si="2"/>
        <v>10.601999999999999</v>
      </c>
    </row>
    <row r="36" spans="1:19" x14ac:dyDescent="0.15">
      <c r="A36" s="1">
        <v>0</v>
      </c>
      <c r="B36" t="s">
        <v>211</v>
      </c>
      <c r="C36">
        <v>5</v>
      </c>
      <c r="D36" s="47">
        <f t="shared" si="0"/>
        <v>97.527267981831613</v>
      </c>
      <c r="E36">
        <v>6</v>
      </c>
      <c r="F36">
        <v>1.7</v>
      </c>
      <c r="G36">
        <v>9</v>
      </c>
      <c r="H36">
        <v>13</v>
      </c>
      <c r="I36">
        <v>3</v>
      </c>
      <c r="J36">
        <v>4</v>
      </c>
      <c r="K36">
        <v>3</v>
      </c>
      <c r="L36">
        <v>2</v>
      </c>
      <c r="M36">
        <v>0</v>
      </c>
      <c r="N36">
        <v>0</v>
      </c>
      <c r="O36">
        <v>0.4</v>
      </c>
      <c r="P36" s="13">
        <f t="shared" si="1"/>
        <v>1046.8823257124159</v>
      </c>
      <c r="Q36">
        <v>1</v>
      </c>
      <c r="R36" s="47">
        <f t="shared" si="2"/>
        <v>12.73725</v>
      </c>
    </row>
    <row r="37" spans="1:19" x14ac:dyDescent="0.15">
      <c r="A37" s="1">
        <v>0</v>
      </c>
      <c r="B37" t="s">
        <v>335</v>
      </c>
      <c r="C37">
        <v>3</v>
      </c>
      <c r="D37" s="47">
        <f t="shared" si="0"/>
        <v>15.812874501494026</v>
      </c>
      <c r="E37">
        <v>10</v>
      </c>
      <c r="F37">
        <v>0.7</v>
      </c>
      <c r="G37">
        <v>2</v>
      </c>
      <c r="H37">
        <v>9</v>
      </c>
      <c r="I37">
        <v>3</v>
      </c>
      <c r="J37">
        <v>2</v>
      </c>
      <c r="K37">
        <v>5</v>
      </c>
      <c r="L37">
        <v>0</v>
      </c>
      <c r="M37">
        <v>3</v>
      </c>
      <c r="N37">
        <v>0.12</v>
      </c>
      <c r="O37">
        <v>0.4</v>
      </c>
      <c r="P37" s="13">
        <f t="shared" si="1"/>
        <v>202.95736419521933</v>
      </c>
      <c r="Q37" s="1" t="s">
        <v>358</v>
      </c>
      <c r="R37" s="47">
        <f t="shared" si="2"/>
        <v>1.6281000000000003</v>
      </c>
      <c r="S37" t="s">
        <v>361</v>
      </c>
    </row>
    <row r="38" spans="1:19" x14ac:dyDescent="0.15">
      <c r="A38" s="12" t="s">
        <v>197</v>
      </c>
      <c r="B38" s="51" t="s">
        <v>670</v>
      </c>
      <c r="C38" s="51" t="s">
        <v>181</v>
      </c>
      <c r="D38" s="51" t="s">
        <v>198</v>
      </c>
      <c r="E38" s="51" t="s">
        <v>199</v>
      </c>
      <c r="F38" s="51" t="s">
        <v>200</v>
      </c>
      <c r="G38" s="51" t="s">
        <v>0</v>
      </c>
      <c r="H38" s="51" t="s">
        <v>1</v>
      </c>
      <c r="I38" s="51" t="s">
        <v>82</v>
      </c>
      <c r="J38" s="51" t="s">
        <v>2</v>
      </c>
      <c r="K38" s="51" t="s">
        <v>3</v>
      </c>
      <c r="L38" s="51" t="s">
        <v>442</v>
      </c>
      <c r="M38" s="51" t="s">
        <v>443</v>
      </c>
      <c r="N38" s="51" t="s">
        <v>201</v>
      </c>
      <c r="O38" s="51" t="s">
        <v>391</v>
      </c>
      <c r="P38" s="51" t="s">
        <v>183</v>
      </c>
      <c r="Q38" s="51" t="s">
        <v>182</v>
      </c>
      <c r="R38" s="51" t="s">
        <v>668</v>
      </c>
      <c r="S38" s="52" t="s">
        <v>669</v>
      </c>
    </row>
    <row r="39" spans="1:19" x14ac:dyDescent="0.15">
      <c r="A39">
        <v>1</v>
      </c>
      <c r="B39" t="s">
        <v>212</v>
      </c>
      <c r="C39">
        <v>0</v>
      </c>
      <c r="D39" s="47">
        <f t="shared" ref="D39:D49" si="3">(C39+3)*(H39+9)*0.25*F39^1.5</f>
        <v>8.5865010335991929</v>
      </c>
      <c r="E39">
        <v>5</v>
      </c>
      <c r="F39">
        <v>0.8</v>
      </c>
      <c r="G39">
        <v>6</v>
      </c>
      <c r="H39">
        <v>7</v>
      </c>
      <c r="I39">
        <v>4</v>
      </c>
      <c r="J39">
        <v>9</v>
      </c>
      <c r="K39">
        <v>6</v>
      </c>
      <c r="L39">
        <v>0</v>
      </c>
      <c r="M39">
        <v>0</v>
      </c>
      <c r="N39">
        <v>0.245</v>
      </c>
      <c r="O39">
        <v>2</v>
      </c>
      <c r="P39" s="13">
        <f t="shared" ref="P39:P49" si="4">(((C39+1.8)^1.4*(F39^1.25)*(-0.25*(E39-10)+G39+H39+I39+J39+K39+L39+M39))^(1+N39*0.4)+N39*200+D39*2)*(1+O39*0.25)*0.8</f>
        <v>181.62018922765597</v>
      </c>
      <c r="Q39">
        <v>3</v>
      </c>
      <c r="R39" s="47">
        <f t="shared" ref="R39:R49" si="5">(G39)*(F39+2)*(C39*0.9+4)*0.045</f>
        <v>3.0239999999999996</v>
      </c>
      <c r="S39" t="s">
        <v>570</v>
      </c>
    </row>
    <row r="40" spans="1:19" x14ac:dyDescent="0.15">
      <c r="A40">
        <v>1</v>
      </c>
      <c r="B40" t="s">
        <v>331</v>
      </c>
      <c r="C40">
        <v>1</v>
      </c>
      <c r="D40" s="47">
        <f t="shared" si="3"/>
        <v>6.0418540200835702</v>
      </c>
      <c r="E40">
        <v>4</v>
      </c>
      <c r="F40">
        <v>0.6</v>
      </c>
      <c r="G40">
        <v>4</v>
      </c>
      <c r="H40">
        <v>4</v>
      </c>
      <c r="I40">
        <v>4</v>
      </c>
      <c r="J40">
        <v>8</v>
      </c>
      <c r="K40">
        <v>6</v>
      </c>
      <c r="L40">
        <v>0</v>
      </c>
      <c r="M40">
        <v>0</v>
      </c>
      <c r="N40">
        <v>0.1</v>
      </c>
      <c r="O40">
        <v>0.8</v>
      </c>
      <c r="P40" s="13">
        <f t="shared" si="4"/>
        <v>100.27654325128601</v>
      </c>
      <c r="Q40">
        <v>1</v>
      </c>
      <c r="R40" s="47">
        <f t="shared" si="5"/>
        <v>2.2932000000000001</v>
      </c>
      <c r="S40" t="s">
        <v>329</v>
      </c>
    </row>
    <row r="41" spans="1:19" x14ac:dyDescent="0.15">
      <c r="A41">
        <v>1</v>
      </c>
      <c r="B41" t="s">
        <v>213</v>
      </c>
      <c r="C41">
        <v>2</v>
      </c>
      <c r="D41" s="47">
        <f t="shared" si="3"/>
        <v>7.5130095501070677</v>
      </c>
      <c r="E41">
        <v>2</v>
      </c>
      <c r="F41">
        <v>0.5</v>
      </c>
      <c r="G41">
        <v>3</v>
      </c>
      <c r="H41">
        <v>8</v>
      </c>
      <c r="I41">
        <v>3</v>
      </c>
      <c r="J41">
        <v>10</v>
      </c>
      <c r="K41">
        <v>6</v>
      </c>
      <c r="L41">
        <v>1</v>
      </c>
      <c r="M41">
        <v>0</v>
      </c>
      <c r="N41">
        <v>0.16</v>
      </c>
      <c r="O41">
        <v>0.8</v>
      </c>
      <c r="P41" s="13">
        <f t="shared" si="4"/>
        <v>160.29017247542967</v>
      </c>
      <c r="Q41">
        <v>1</v>
      </c>
      <c r="R41" s="47">
        <f t="shared" si="5"/>
        <v>1.9575</v>
      </c>
      <c r="S41" t="s">
        <v>360</v>
      </c>
    </row>
    <row r="42" spans="1:19" x14ac:dyDescent="0.15">
      <c r="A42">
        <v>1</v>
      </c>
      <c r="B42" t="s">
        <v>215</v>
      </c>
      <c r="C42">
        <v>3</v>
      </c>
      <c r="D42" s="47">
        <f t="shared" si="3"/>
        <v>22.5</v>
      </c>
      <c r="E42">
        <v>4</v>
      </c>
      <c r="F42">
        <v>1</v>
      </c>
      <c r="G42">
        <v>7</v>
      </c>
      <c r="H42">
        <v>6</v>
      </c>
      <c r="I42">
        <v>2</v>
      </c>
      <c r="J42">
        <v>6</v>
      </c>
      <c r="K42">
        <v>7</v>
      </c>
      <c r="L42">
        <v>3</v>
      </c>
      <c r="M42">
        <v>0</v>
      </c>
      <c r="N42">
        <v>-0.1</v>
      </c>
      <c r="O42">
        <v>0.8</v>
      </c>
      <c r="P42" s="13">
        <f t="shared" si="4"/>
        <v>247.49483069801755</v>
      </c>
      <c r="Q42">
        <v>1</v>
      </c>
      <c r="R42" s="47">
        <f t="shared" si="5"/>
        <v>6.3315000000000001</v>
      </c>
      <c r="S42" t="s">
        <v>216</v>
      </c>
    </row>
    <row r="43" spans="1:19" x14ac:dyDescent="0.15">
      <c r="A43">
        <v>1</v>
      </c>
      <c r="B43" t="s">
        <v>188</v>
      </c>
      <c r="C43">
        <v>1</v>
      </c>
      <c r="D43" s="47">
        <f t="shared" si="3"/>
        <v>11.448668044798923</v>
      </c>
      <c r="E43">
        <v>6</v>
      </c>
      <c r="F43">
        <v>0.8</v>
      </c>
      <c r="G43">
        <v>6</v>
      </c>
      <c r="H43">
        <v>7</v>
      </c>
      <c r="I43">
        <v>6</v>
      </c>
      <c r="J43">
        <v>8</v>
      </c>
      <c r="K43">
        <v>8</v>
      </c>
      <c r="L43">
        <v>0</v>
      </c>
      <c r="M43">
        <v>0</v>
      </c>
      <c r="N43">
        <v>0</v>
      </c>
      <c r="O43">
        <v>0.4</v>
      </c>
      <c r="P43" s="13">
        <f t="shared" si="4"/>
        <v>121.46352473918817</v>
      </c>
      <c r="Q43">
        <v>1</v>
      </c>
      <c r="R43" s="47">
        <f t="shared" si="5"/>
        <v>3.7043999999999997</v>
      </c>
    </row>
    <row r="44" spans="1:19" x14ac:dyDescent="0.15">
      <c r="A44">
        <v>1</v>
      </c>
      <c r="B44" t="s">
        <v>333</v>
      </c>
      <c r="C44">
        <v>1</v>
      </c>
      <c r="D44" s="47">
        <f t="shared" si="3"/>
        <v>11.448668044798923</v>
      </c>
      <c r="E44">
        <v>7</v>
      </c>
      <c r="F44">
        <v>0.8</v>
      </c>
      <c r="G44">
        <v>6</v>
      </c>
      <c r="H44">
        <v>7</v>
      </c>
      <c r="I44">
        <v>6</v>
      </c>
      <c r="J44">
        <v>7</v>
      </c>
      <c r="K44">
        <v>7</v>
      </c>
      <c r="L44">
        <v>0</v>
      </c>
      <c r="M44">
        <v>0</v>
      </c>
      <c r="N44">
        <v>0.1</v>
      </c>
      <c r="O44">
        <v>0.4</v>
      </c>
      <c r="P44" s="13">
        <f t="shared" si="4"/>
        <v>152.29210811432938</v>
      </c>
      <c r="Q44">
        <v>1</v>
      </c>
      <c r="R44" s="47">
        <f t="shared" si="5"/>
        <v>3.7043999999999997</v>
      </c>
      <c r="S44" t="s">
        <v>329</v>
      </c>
    </row>
    <row r="45" spans="1:19" x14ac:dyDescent="0.15">
      <c r="A45">
        <v>1</v>
      </c>
      <c r="B45" t="s">
        <v>217</v>
      </c>
      <c r="C45">
        <v>2</v>
      </c>
      <c r="D45" s="47">
        <f t="shared" si="3"/>
        <v>13.416407864998739</v>
      </c>
      <c r="E45">
        <v>8</v>
      </c>
      <c r="F45">
        <v>0.8</v>
      </c>
      <c r="G45">
        <v>4</v>
      </c>
      <c r="H45">
        <v>6</v>
      </c>
      <c r="I45">
        <v>8</v>
      </c>
      <c r="J45">
        <v>6</v>
      </c>
      <c r="K45">
        <v>7</v>
      </c>
      <c r="L45">
        <v>0</v>
      </c>
      <c r="M45">
        <v>2</v>
      </c>
      <c r="N45">
        <v>7.4999999999999997E-2</v>
      </c>
      <c r="O45">
        <v>0.8</v>
      </c>
      <c r="P45" s="13">
        <f t="shared" si="4"/>
        <v>223.95873361729343</v>
      </c>
      <c r="Q45">
        <v>1</v>
      </c>
      <c r="R45" s="47">
        <f t="shared" si="5"/>
        <v>2.9231999999999996</v>
      </c>
      <c r="S45" t="s">
        <v>348</v>
      </c>
    </row>
    <row r="46" spans="1:19" x14ac:dyDescent="0.15">
      <c r="A46">
        <v>1</v>
      </c>
      <c r="B46" t="s">
        <v>330</v>
      </c>
      <c r="C46">
        <v>4</v>
      </c>
      <c r="D46" s="47">
        <f t="shared" si="3"/>
        <v>29.75</v>
      </c>
      <c r="E46">
        <v>4</v>
      </c>
      <c r="F46">
        <v>1</v>
      </c>
      <c r="G46">
        <v>7</v>
      </c>
      <c r="H46">
        <v>8</v>
      </c>
      <c r="I46">
        <v>7</v>
      </c>
      <c r="J46">
        <v>8</v>
      </c>
      <c r="K46">
        <v>8</v>
      </c>
      <c r="L46">
        <v>1</v>
      </c>
      <c r="M46">
        <v>0</v>
      </c>
      <c r="N46">
        <v>0</v>
      </c>
      <c r="O46">
        <v>0.8</v>
      </c>
      <c r="P46" s="13">
        <f t="shared" si="4"/>
        <v>512.65887742957864</v>
      </c>
      <c r="Q46">
        <v>1</v>
      </c>
      <c r="R46" s="47">
        <f t="shared" si="5"/>
        <v>7.1819999999999995</v>
      </c>
    </row>
    <row r="47" spans="1:19" x14ac:dyDescent="0.15">
      <c r="A47">
        <v>1</v>
      </c>
      <c r="B47" t="s">
        <v>189</v>
      </c>
      <c r="C47">
        <v>4</v>
      </c>
      <c r="D47" s="47">
        <f t="shared" si="3"/>
        <v>23.906819110872949</v>
      </c>
      <c r="E47">
        <v>3</v>
      </c>
      <c r="F47">
        <v>0.9</v>
      </c>
      <c r="G47">
        <v>7</v>
      </c>
      <c r="H47">
        <v>7</v>
      </c>
      <c r="I47">
        <v>4</v>
      </c>
      <c r="J47">
        <v>9</v>
      </c>
      <c r="K47">
        <v>6</v>
      </c>
      <c r="L47">
        <v>0</v>
      </c>
      <c r="M47">
        <v>0</v>
      </c>
      <c r="N47">
        <v>0</v>
      </c>
      <c r="O47">
        <v>0.8</v>
      </c>
      <c r="P47" s="13">
        <f t="shared" si="4"/>
        <v>388.53344648715904</v>
      </c>
      <c r="Q47">
        <v>2</v>
      </c>
      <c r="R47" s="47">
        <f t="shared" si="5"/>
        <v>6.9425999999999997</v>
      </c>
    </row>
    <row r="48" spans="1:19" x14ac:dyDescent="0.15">
      <c r="A48">
        <v>1</v>
      </c>
      <c r="B48" t="s">
        <v>184</v>
      </c>
      <c r="C48">
        <v>7</v>
      </c>
      <c r="D48" s="47">
        <f t="shared" si="3"/>
        <v>82.67027881893226</v>
      </c>
      <c r="E48">
        <v>4</v>
      </c>
      <c r="F48">
        <v>1.5</v>
      </c>
      <c r="G48">
        <v>8</v>
      </c>
      <c r="H48">
        <v>9</v>
      </c>
      <c r="I48">
        <v>3</v>
      </c>
      <c r="J48">
        <v>6</v>
      </c>
      <c r="K48">
        <v>6</v>
      </c>
      <c r="L48">
        <v>4</v>
      </c>
      <c r="M48">
        <v>0</v>
      </c>
      <c r="N48">
        <v>0</v>
      </c>
      <c r="O48">
        <v>0.8</v>
      </c>
      <c r="P48" s="13">
        <f t="shared" si="4"/>
        <v>1413.8673552270268</v>
      </c>
      <c r="Q48">
        <v>2</v>
      </c>
      <c r="R48" s="47">
        <f t="shared" si="5"/>
        <v>12.978000000000002</v>
      </c>
    </row>
    <row r="49" spans="1:19" x14ac:dyDescent="0.15">
      <c r="A49">
        <v>1</v>
      </c>
      <c r="B49" t="s">
        <v>336</v>
      </c>
      <c r="C49">
        <v>6</v>
      </c>
      <c r="D49" s="47">
        <f t="shared" si="3"/>
        <v>32.658422535388937</v>
      </c>
      <c r="E49">
        <v>1</v>
      </c>
      <c r="F49">
        <v>0.9</v>
      </c>
      <c r="G49">
        <v>4</v>
      </c>
      <c r="H49">
        <v>8</v>
      </c>
      <c r="I49">
        <v>4</v>
      </c>
      <c r="J49">
        <v>8</v>
      </c>
      <c r="K49">
        <v>6</v>
      </c>
      <c r="L49">
        <v>2</v>
      </c>
      <c r="M49">
        <v>0</v>
      </c>
      <c r="N49">
        <v>0.14000000000000001</v>
      </c>
      <c r="O49">
        <v>0.8</v>
      </c>
      <c r="P49" s="13">
        <f t="shared" si="4"/>
        <v>816.26813129833272</v>
      </c>
      <c r="Q49" s="1" t="s">
        <v>358</v>
      </c>
      <c r="R49" s="47">
        <f t="shared" si="5"/>
        <v>4.9068000000000005</v>
      </c>
      <c r="S49" t="s">
        <v>337</v>
      </c>
    </row>
    <row r="50" spans="1:19" x14ac:dyDescent="0.15">
      <c r="A50" s="12" t="s">
        <v>197</v>
      </c>
      <c r="B50" s="51" t="s">
        <v>670</v>
      </c>
      <c r="C50" s="51" t="s">
        <v>181</v>
      </c>
      <c r="D50" s="51" t="s">
        <v>198</v>
      </c>
      <c r="E50" s="51" t="s">
        <v>199</v>
      </c>
      <c r="F50" s="51" t="s">
        <v>200</v>
      </c>
      <c r="G50" s="51" t="s">
        <v>0</v>
      </c>
      <c r="H50" s="51" t="s">
        <v>1</v>
      </c>
      <c r="I50" s="51" t="s">
        <v>82</v>
      </c>
      <c r="J50" s="51" t="s">
        <v>2</v>
      </c>
      <c r="K50" s="51" t="s">
        <v>3</v>
      </c>
      <c r="L50" s="51" t="s">
        <v>442</v>
      </c>
      <c r="M50" s="51" t="s">
        <v>443</v>
      </c>
      <c r="N50" s="51" t="s">
        <v>201</v>
      </c>
      <c r="O50" s="51" t="s">
        <v>391</v>
      </c>
      <c r="P50" s="51" t="s">
        <v>183</v>
      </c>
      <c r="Q50" s="51" t="s">
        <v>182</v>
      </c>
      <c r="R50" s="51" t="s">
        <v>668</v>
      </c>
      <c r="S50" s="52" t="s">
        <v>669</v>
      </c>
    </row>
    <row r="51" spans="1:19" x14ac:dyDescent="0.15">
      <c r="A51">
        <v>2</v>
      </c>
      <c r="B51" t="s">
        <v>218</v>
      </c>
      <c r="C51">
        <v>2</v>
      </c>
      <c r="D51" s="47">
        <f t="shared" ref="D51:D67" si="6">(C51+3)*(H51+9)*0.25*F51^1.5</f>
        <v>7.5130095501070677</v>
      </c>
      <c r="E51">
        <v>2</v>
      </c>
      <c r="F51">
        <v>0.5</v>
      </c>
      <c r="G51">
        <v>3</v>
      </c>
      <c r="H51">
        <v>8</v>
      </c>
      <c r="I51">
        <v>3</v>
      </c>
      <c r="J51">
        <v>10</v>
      </c>
      <c r="K51">
        <v>6</v>
      </c>
      <c r="L51">
        <v>1</v>
      </c>
      <c r="M51">
        <v>0</v>
      </c>
      <c r="N51">
        <v>0.14000000000000001</v>
      </c>
      <c r="O51">
        <v>4</v>
      </c>
      <c r="P51" s="13">
        <f t="shared" ref="P51:P67" si="7">(((C51+1.8)^1.4*(F51^1.25)*(-0.25*(E51-10)+G51+H51+I51+J51+K51+L51+M51))^(1+N51*0.4)+N51*200+D51*2)*(1+O51*0.25)*0.8</f>
        <v>253.96582346974034</v>
      </c>
      <c r="Q51">
        <v>4</v>
      </c>
      <c r="R51" s="47">
        <f t="shared" ref="R51:R67" si="8">(G51)*(F51+2)*(C51*0.9+4)*0.045</f>
        <v>1.9575</v>
      </c>
      <c r="S51" t="s">
        <v>214</v>
      </c>
    </row>
    <row r="52" spans="1:19" x14ac:dyDescent="0.15">
      <c r="A52">
        <v>2</v>
      </c>
      <c r="B52" t="s">
        <v>219</v>
      </c>
      <c r="C52">
        <v>3</v>
      </c>
      <c r="D52" s="47">
        <f t="shared" si="6"/>
        <v>30</v>
      </c>
      <c r="E52">
        <v>5</v>
      </c>
      <c r="F52">
        <v>1</v>
      </c>
      <c r="G52">
        <v>10</v>
      </c>
      <c r="H52">
        <v>11</v>
      </c>
      <c r="I52">
        <v>3</v>
      </c>
      <c r="J52">
        <v>5</v>
      </c>
      <c r="K52">
        <v>4</v>
      </c>
      <c r="L52">
        <v>5</v>
      </c>
      <c r="M52">
        <v>0</v>
      </c>
      <c r="N52">
        <v>0.22</v>
      </c>
      <c r="O52">
        <v>0</v>
      </c>
      <c r="P52" s="13">
        <f t="shared" si="7"/>
        <v>556.19243096355365</v>
      </c>
      <c r="Q52">
        <v>2</v>
      </c>
      <c r="R52" s="47">
        <f t="shared" si="8"/>
        <v>9.0449999999999999</v>
      </c>
      <c r="S52" t="s">
        <v>220</v>
      </c>
    </row>
    <row r="53" spans="1:19" x14ac:dyDescent="0.15">
      <c r="A53">
        <v>2</v>
      </c>
      <c r="B53" t="s">
        <v>221</v>
      </c>
      <c r="C53">
        <v>3</v>
      </c>
      <c r="D53" s="47">
        <f t="shared" si="6"/>
        <v>20.392939954798081</v>
      </c>
      <c r="E53">
        <v>3</v>
      </c>
      <c r="F53">
        <v>0.8</v>
      </c>
      <c r="G53">
        <v>10</v>
      </c>
      <c r="H53">
        <v>10</v>
      </c>
      <c r="I53">
        <v>3</v>
      </c>
      <c r="J53">
        <v>8</v>
      </c>
      <c r="K53">
        <v>6</v>
      </c>
      <c r="L53">
        <v>4</v>
      </c>
      <c r="M53">
        <v>0</v>
      </c>
      <c r="N53">
        <v>0.08</v>
      </c>
      <c r="O53">
        <v>0</v>
      </c>
      <c r="P53" s="13">
        <f t="shared" si="7"/>
        <v>324.33574922420598</v>
      </c>
      <c r="Q53">
        <v>2</v>
      </c>
      <c r="R53" s="47">
        <f t="shared" si="8"/>
        <v>8.4420000000000002</v>
      </c>
      <c r="S53" t="s">
        <v>203</v>
      </c>
    </row>
    <row r="54" spans="1:19" x14ac:dyDescent="0.15">
      <c r="A54">
        <v>2</v>
      </c>
      <c r="B54" t="s">
        <v>222</v>
      </c>
      <c r="C54">
        <v>3</v>
      </c>
      <c r="D54" s="47">
        <f t="shared" si="6"/>
        <v>13.177395417911688</v>
      </c>
      <c r="E54">
        <v>1</v>
      </c>
      <c r="F54">
        <v>0.7</v>
      </c>
      <c r="G54">
        <v>5</v>
      </c>
      <c r="H54">
        <v>6</v>
      </c>
      <c r="I54">
        <v>8</v>
      </c>
      <c r="J54">
        <v>9</v>
      </c>
      <c r="K54">
        <v>8</v>
      </c>
      <c r="L54">
        <v>0</v>
      </c>
      <c r="M54">
        <v>5</v>
      </c>
      <c r="N54">
        <v>0.1125</v>
      </c>
      <c r="O54">
        <v>0</v>
      </c>
      <c r="P54" s="13">
        <f t="shared" si="7"/>
        <v>294.360263364486</v>
      </c>
      <c r="Q54">
        <v>2</v>
      </c>
      <c r="R54" s="47">
        <f t="shared" si="8"/>
        <v>4.0702499999999997</v>
      </c>
      <c r="S54" t="s">
        <v>223</v>
      </c>
    </row>
    <row r="55" spans="1:19" x14ac:dyDescent="0.15">
      <c r="A55">
        <v>2</v>
      </c>
      <c r="B55" t="s">
        <v>187</v>
      </c>
      <c r="C55">
        <v>3</v>
      </c>
      <c r="D55" s="47">
        <f t="shared" si="6"/>
        <v>21.772281690259291</v>
      </c>
      <c r="E55">
        <v>4</v>
      </c>
      <c r="F55">
        <v>0.9</v>
      </c>
      <c r="G55">
        <v>7</v>
      </c>
      <c r="H55">
        <v>8</v>
      </c>
      <c r="I55">
        <v>5</v>
      </c>
      <c r="J55">
        <v>7</v>
      </c>
      <c r="K55">
        <v>7</v>
      </c>
      <c r="L55">
        <v>0</v>
      </c>
      <c r="M55">
        <v>0</v>
      </c>
      <c r="N55">
        <v>0</v>
      </c>
      <c r="O55">
        <v>0</v>
      </c>
      <c r="P55" s="13">
        <f t="shared" si="7"/>
        <v>258.63520082130941</v>
      </c>
      <c r="Q55">
        <v>2</v>
      </c>
      <c r="R55" s="47">
        <f t="shared" si="8"/>
        <v>6.1204500000000008</v>
      </c>
    </row>
    <row r="56" spans="1:19" x14ac:dyDescent="0.15">
      <c r="A56">
        <v>2</v>
      </c>
      <c r="B56" t="s">
        <v>224</v>
      </c>
      <c r="C56">
        <v>3</v>
      </c>
      <c r="D56" s="47">
        <f t="shared" si="6"/>
        <v>19.210836785522904</v>
      </c>
      <c r="E56">
        <v>2</v>
      </c>
      <c r="F56">
        <v>0.9</v>
      </c>
      <c r="G56">
        <v>5</v>
      </c>
      <c r="H56">
        <v>6</v>
      </c>
      <c r="I56">
        <v>5</v>
      </c>
      <c r="J56">
        <v>9</v>
      </c>
      <c r="K56">
        <v>8</v>
      </c>
      <c r="L56">
        <v>0</v>
      </c>
      <c r="M56">
        <v>1</v>
      </c>
      <c r="N56">
        <v>0.12</v>
      </c>
      <c r="O56">
        <v>0</v>
      </c>
      <c r="P56" s="13">
        <f t="shared" si="7"/>
        <v>347.56263369389376</v>
      </c>
      <c r="Q56">
        <v>2</v>
      </c>
      <c r="R56" s="47">
        <f t="shared" si="8"/>
        <v>4.3717500000000005</v>
      </c>
      <c r="S56" t="s">
        <v>225</v>
      </c>
    </row>
    <row r="57" spans="1:19" x14ac:dyDescent="0.15">
      <c r="A57">
        <v>2</v>
      </c>
      <c r="B57" t="s">
        <v>226</v>
      </c>
      <c r="C57">
        <v>4</v>
      </c>
      <c r="D57" s="47">
        <f t="shared" si="6"/>
        <v>40.25</v>
      </c>
      <c r="E57">
        <v>10</v>
      </c>
      <c r="F57">
        <v>1</v>
      </c>
      <c r="G57">
        <v>12</v>
      </c>
      <c r="H57">
        <v>14</v>
      </c>
      <c r="I57">
        <v>2</v>
      </c>
      <c r="J57">
        <v>2</v>
      </c>
      <c r="K57">
        <v>4</v>
      </c>
      <c r="L57">
        <v>0</v>
      </c>
      <c r="M57">
        <v>0</v>
      </c>
      <c r="N57">
        <v>0.18</v>
      </c>
      <c r="O57">
        <v>0</v>
      </c>
      <c r="P57" s="13">
        <f t="shared" si="7"/>
        <v>583.64252399353745</v>
      </c>
      <c r="Q57">
        <v>2</v>
      </c>
      <c r="R57" s="47">
        <f t="shared" si="8"/>
        <v>12.311999999999998</v>
      </c>
      <c r="S57" t="s">
        <v>311</v>
      </c>
    </row>
    <row r="58" spans="1:19" x14ac:dyDescent="0.15">
      <c r="A58">
        <v>2</v>
      </c>
      <c r="B58" t="s">
        <v>227</v>
      </c>
      <c r="C58">
        <v>4</v>
      </c>
      <c r="D58" s="47">
        <f t="shared" si="6"/>
        <v>42</v>
      </c>
      <c r="E58">
        <v>9</v>
      </c>
      <c r="F58">
        <v>1</v>
      </c>
      <c r="G58">
        <v>9</v>
      </c>
      <c r="H58">
        <v>15</v>
      </c>
      <c r="I58">
        <v>2</v>
      </c>
      <c r="J58">
        <v>3</v>
      </c>
      <c r="K58">
        <v>4</v>
      </c>
      <c r="L58">
        <v>0</v>
      </c>
      <c r="M58">
        <v>0</v>
      </c>
      <c r="N58">
        <v>0.03</v>
      </c>
      <c r="O58">
        <v>0</v>
      </c>
      <c r="P58" s="13">
        <f t="shared" si="7"/>
        <v>406.78648505492367</v>
      </c>
      <c r="Q58">
        <v>2</v>
      </c>
      <c r="R58" s="47">
        <f t="shared" si="8"/>
        <v>9.234</v>
      </c>
      <c r="S58" t="s">
        <v>228</v>
      </c>
    </row>
    <row r="59" spans="1:19" x14ac:dyDescent="0.15">
      <c r="A59">
        <v>2</v>
      </c>
      <c r="B59" t="s">
        <v>229</v>
      </c>
      <c r="C59">
        <v>5</v>
      </c>
      <c r="D59" s="47">
        <f t="shared" si="6"/>
        <v>36</v>
      </c>
      <c r="E59">
        <v>2</v>
      </c>
      <c r="F59">
        <v>1</v>
      </c>
      <c r="G59">
        <v>9</v>
      </c>
      <c r="H59">
        <v>9</v>
      </c>
      <c r="I59">
        <v>6</v>
      </c>
      <c r="J59">
        <v>6</v>
      </c>
      <c r="K59">
        <v>7</v>
      </c>
      <c r="L59">
        <v>4</v>
      </c>
      <c r="M59">
        <v>0</v>
      </c>
      <c r="N59">
        <v>0</v>
      </c>
      <c r="O59">
        <v>0</v>
      </c>
      <c r="P59" s="13">
        <f t="shared" si="7"/>
        <v>561.18283723383502</v>
      </c>
      <c r="Q59">
        <v>3</v>
      </c>
      <c r="R59" s="47">
        <f t="shared" si="8"/>
        <v>10.327499999999999</v>
      </c>
    </row>
    <row r="60" spans="1:19" x14ac:dyDescent="0.15">
      <c r="A60">
        <v>2</v>
      </c>
      <c r="B60" t="s">
        <v>230</v>
      </c>
      <c r="C60">
        <v>5</v>
      </c>
      <c r="D60" s="47">
        <f t="shared" si="6"/>
        <v>25.614449047363873</v>
      </c>
      <c r="E60">
        <v>1</v>
      </c>
      <c r="F60">
        <v>0.9</v>
      </c>
      <c r="G60">
        <v>6</v>
      </c>
      <c r="H60">
        <v>6</v>
      </c>
      <c r="I60">
        <v>6</v>
      </c>
      <c r="J60">
        <v>9</v>
      </c>
      <c r="K60">
        <v>9</v>
      </c>
      <c r="L60">
        <v>0</v>
      </c>
      <c r="M60">
        <v>0</v>
      </c>
      <c r="N60">
        <v>0.1</v>
      </c>
      <c r="O60">
        <v>0</v>
      </c>
      <c r="P60" s="13">
        <f t="shared" si="7"/>
        <v>560.10698955426403</v>
      </c>
      <c r="Q60" s="1" t="s">
        <v>691</v>
      </c>
      <c r="R60" s="47">
        <f t="shared" si="8"/>
        <v>6.6554999999999991</v>
      </c>
      <c r="S60" t="s">
        <v>205</v>
      </c>
    </row>
    <row r="61" spans="1:19" x14ac:dyDescent="0.15">
      <c r="A61">
        <v>2</v>
      </c>
      <c r="B61" t="s">
        <v>231</v>
      </c>
      <c r="C61">
        <v>5</v>
      </c>
      <c r="D61" s="47">
        <f t="shared" si="6"/>
        <v>25.614449047363873</v>
      </c>
      <c r="E61">
        <v>5</v>
      </c>
      <c r="F61">
        <v>0.9</v>
      </c>
      <c r="G61">
        <v>6</v>
      </c>
      <c r="H61">
        <v>6</v>
      </c>
      <c r="I61">
        <v>8</v>
      </c>
      <c r="J61">
        <v>7</v>
      </c>
      <c r="K61">
        <v>8</v>
      </c>
      <c r="L61">
        <v>0</v>
      </c>
      <c r="M61">
        <v>2</v>
      </c>
      <c r="N61">
        <v>0.1</v>
      </c>
      <c r="O61">
        <v>0</v>
      </c>
      <c r="P61" s="13">
        <f t="shared" si="7"/>
        <v>560.10698955426403</v>
      </c>
      <c r="Q61" s="1" t="s">
        <v>691</v>
      </c>
      <c r="R61" s="47">
        <f t="shared" si="8"/>
        <v>6.6554999999999991</v>
      </c>
      <c r="S61" t="s">
        <v>341</v>
      </c>
    </row>
    <row r="62" spans="1:19" x14ac:dyDescent="0.15">
      <c r="A62">
        <v>2</v>
      </c>
      <c r="B62" t="s">
        <v>232</v>
      </c>
      <c r="C62">
        <v>5</v>
      </c>
      <c r="D62" s="47">
        <f t="shared" si="6"/>
        <v>23.906819110872949</v>
      </c>
      <c r="E62">
        <v>6</v>
      </c>
      <c r="F62">
        <v>0.9</v>
      </c>
      <c r="G62">
        <v>6</v>
      </c>
      <c r="H62">
        <v>5</v>
      </c>
      <c r="I62">
        <v>9</v>
      </c>
      <c r="J62">
        <v>7</v>
      </c>
      <c r="K62">
        <v>8</v>
      </c>
      <c r="L62">
        <v>0</v>
      </c>
      <c r="M62">
        <v>4</v>
      </c>
      <c r="N62">
        <v>0.1</v>
      </c>
      <c r="O62">
        <v>0</v>
      </c>
      <c r="P62" s="13">
        <f t="shared" si="7"/>
        <v>581.3358621320325</v>
      </c>
      <c r="Q62" s="1" t="s">
        <v>691</v>
      </c>
      <c r="R62" s="47">
        <f t="shared" si="8"/>
        <v>6.6554999999999991</v>
      </c>
      <c r="S62" t="s">
        <v>341</v>
      </c>
    </row>
    <row r="63" spans="1:19" x14ac:dyDescent="0.15">
      <c r="A63">
        <v>2</v>
      </c>
      <c r="B63" t="s">
        <v>186</v>
      </c>
      <c r="C63">
        <v>5</v>
      </c>
      <c r="D63" s="47">
        <f t="shared" si="6"/>
        <v>36</v>
      </c>
      <c r="E63">
        <v>3</v>
      </c>
      <c r="F63">
        <v>1</v>
      </c>
      <c r="G63">
        <v>8</v>
      </c>
      <c r="H63">
        <v>9</v>
      </c>
      <c r="I63">
        <v>6</v>
      </c>
      <c r="J63">
        <v>7</v>
      </c>
      <c r="K63">
        <v>8</v>
      </c>
      <c r="L63">
        <v>1</v>
      </c>
      <c r="M63">
        <v>0</v>
      </c>
      <c r="N63">
        <v>0</v>
      </c>
      <c r="O63">
        <v>0</v>
      </c>
      <c r="P63" s="13">
        <f t="shared" si="7"/>
        <v>534.8325724948553</v>
      </c>
      <c r="Q63">
        <v>2</v>
      </c>
      <c r="R63" s="47">
        <f t="shared" si="8"/>
        <v>9.18</v>
      </c>
    </row>
    <row r="64" spans="1:19" x14ac:dyDescent="0.15">
      <c r="A64">
        <v>2</v>
      </c>
      <c r="B64" t="s">
        <v>185</v>
      </c>
      <c r="C64">
        <v>7</v>
      </c>
      <c r="D64" s="47">
        <f t="shared" si="6"/>
        <v>51.916037984422509</v>
      </c>
      <c r="E64">
        <v>1</v>
      </c>
      <c r="F64">
        <v>1.1000000000000001</v>
      </c>
      <c r="G64">
        <v>9</v>
      </c>
      <c r="H64">
        <v>9</v>
      </c>
      <c r="I64">
        <v>6</v>
      </c>
      <c r="J64">
        <v>7</v>
      </c>
      <c r="K64">
        <v>8</v>
      </c>
      <c r="L64">
        <v>2</v>
      </c>
      <c r="M64">
        <v>0</v>
      </c>
      <c r="N64">
        <v>0</v>
      </c>
      <c r="O64">
        <v>0</v>
      </c>
      <c r="P64" s="13">
        <f t="shared" si="7"/>
        <v>901.70516150176343</v>
      </c>
      <c r="Q64">
        <v>3</v>
      </c>
      <c r="R64" s="47">
        <f t="shared" si="8"/>
        <v>12.931650000000003</v>
      </c>
    </row>
    <row r="65" spans="1:19" x14ac:dyDescent="0.15">
      <c r="A65">
        <v>2</v>
      </c>
      <c r="B65" t="s">
        <v>234</v>
      </c>
      <c r="C65">
        <v>9</v>
      </c>
      <c r="D65" s="47">
        <f t="shared" si="6"/>
        <v>145.71775458055893</v>
      </c>
      <c r="E65">
        <v>3</v>
      </c>
      <c r="F65">
        <v>1.6</v>
      </c>
      <c r="G65">
        <v>13</v>
      </c>
      <c r="H65">
        <v>15</v>
      </c>
      <c r="I65">
        <v>3</v>
      </c>
      <c r="J65">
        <v>4</v>
      </c>
      <c r="K65">
        <v>5</v>
      </c>
      <c r="L65">
        <v>6</v>
      </c>
      <c r="M65">
        <v>3</v>
      </c>
      <c r="N65">
        <v>7.4999999999999997E-2</v>
      </c>
      <c r="O65">
        <v>2</v>
      </c>
      <c r="P65" s="13">
        <f t="shared" si="7"/>
        <v>4247.2775566986511</v>
      </c>
      <c r="Q65" s="1">
        <v>4</v>
      </c>
      <c r="R65" s="47">
        <f t="shared" si="8"/>
        <v>25.482600000000001</v>
      </c>
      <c r="S65" t="s">
        <v>235</v>
      </c>
    </row>
    <row r="66" spans="1:19" x14ac:dyDescent="0.15">
      <c r="A66">
        <v>2</v>
      </c>
      <c r="B66" t="s">
        <v>389</v>
      </c>
      <c r="C66">
        <v>7</v>
      </c>
      <c r="D66" s="47">
        <f t="shared" si="6"/>
        <v>47.5</v>
      </c>
      <c r="E66">
        <v>-2</v>
      </c>
      <c r="F66">
        <v>1</v>
      </c>
      <c r="G66">
        <v>2</v>
      </c>
      <c r="H66">
        <v>10</v>
      </c>
      <c r="I66">
        <v>6</v>
      </c>
      <c r="J66">
        <v>7</v>
      </c>
      <c r="K66">
        <v>8</v>
      </c>
      <c r="L66">
        <v>1</v>
      </c>
      <c r="M66">
        <v>5</v>
      </c>
      <c r="N66">
        <v>0</v>
      </c>
      <c r="O66">
        <v>0</v>
      </c>
      <c r="P66" s="13">
        <f t="shared" si="7"/>
        <v>781.6917144533088</v>
      </c>
      <c r="Q66">
        <v>4</v>
      </c>
      <c r="R66" s="47">
        <f t="shared" si="8"/>
        <v>2.7810000000000001</v>
      </c>
    </row>
    <row r="67" spans="1:19" x14ac:dyDescent="0.15">
      <c r="A67">
        <v>2</v>
      </c>
      <c r="B67" t="s">
        <v>501</v>
      </c>
      <c r="C67">
        <v>7</v>
      </c>
      <c r="D67" s="47">
        <f t="shared" si="6"/>
        <v>45</v>
      </c>
      <c r="E67">
        <v>8</v>
      </c>
      <c r="F67">
        <v>1</v>
      </c>
      <c r="G67">
        <v>15</v>
      </c>
      <c r="H67">
        <v>9</v>
      </c>
      <c r="I67">
        <v>12</v>
      </c>
      <c r="J67">
        <v>2</v>
      </c>
      <c r="K67">
        <v>15</v>
      </c>
      <c r="L67">
        <v>0</v>
      </c>
      <c r="M67">
        <v>7</v>
      </c>
      <c r="N67">
        <v>0.1</v>
      </c>
      <c r="O67">
        <v>0</v>
      </c>
      <c r="P67" s="13">
        <f t="shared" si="7"/>
        <v>1440.951870092161</v>
      </c>
      <c r="Q67">
        <v>4</v>
      </c>
      <c r="R67" s="47">
        <f t="shared" si="8"/>
        <v>20.857500000000002</v>
      </c>
      <c r="S67" t="s">
        <v>362</v>
      </c>
    </row>
    <row r="68" spans="1:19" x14ac:dyDescent="0.15">
      <c r="A68" s="12" t="s">
        <v>197</v>
      </c>
      <c r="B68" s="51" t="s">
        <v>670</v>
      </c>
      <c r="C68" s="51" t="s">
        <v>181</v>
      </c>
      <c r="D68" s="51" t="s">
        <v>198</v>
      </c>
      <c r="E68" s="51" t="s">
        <v>199</v>
      </c>
      <c r="F68" s="51" t="s">
        <v>200</v>
      </c>
      <c r="G68" s="51" t="s">
        <v>0</v>
      </c>
      <c r="H68" s="51" t="s">
        <v>1</v>
      </c>
      <c r="I68" s="51" t="s">
        <v>82</v>
      </c>
      <c r="J68" s="51" t="s">
        <v>2</v>
      </c>
      <c r="K68" s="51" t="s">
        <v>3</v>
      </c>
      <c r="L68" s="51" t="s">
        <v>442</v>
      </c>
      <c r="M68" s="51" t="s">
        <v>443</v>
      </c>
      <c r="N68" s="51" t="s">
        <v>201</v>
      </c>
      <c r="O68" s="51" t="s">
        <v>391</v>
      </c>
      <c r="P68" s="51" t="s">
        <v>183</v>
      </c>
      <c r="Q68" s="51" t="s">
        <v>182</v>
      </c>
      <c r="R68" s="51" t="s">
        <v>668</v>
      </c>
      <c r="S68" s="52" t="s">
        <v>669</v>
      </c>
    </row>
    <row r="69" spans="1:19" x14ac:dyDescent="0.15">
      <c r="A69">
        <v>3</v>
      </c>
      <c r="B69" t="s">
        <v>236</v>
      </c>
      <c r="C69">
        <v>3</v>
      </c>
      <c r="D69" s="47">
        <f t="shared" ref="D69:D85" si="9">(C69+3)*(H69+9)*0.25*F69^1.5</f>
        <v>30.052753617597173</v>
      </c>
      <c r="E69">
        <v>3</v>
      </c>
      <c r="F69">
        <v>0.8</v>
      </c>
      <c r="G69">
        <v>10</v>
      </c>
      <c r="H69">
        <v>19</v>
      </c>
      <c r="I69">
        <v>3</v>
      </c>
      <c r="J69">
        <v>8</v>
      </c>
      <c r="K69">
        <v>6</v>
      </c>
      <c r="L69">
        <v>0</v>
      </c>
      <c r="M69">
        <v>0</v>
      </c>
      <c r="N69">
        <v>0.1</v>
      </c>
      <c r="O69">
        <v>0</v>
      </c>
      <c r="P69" s="13">
        <f t="shared" ref="P69:P85" si="10">(((C69+1.8)^1.4*(F69^1.25)*(-0.25*(E69-10)+G69+H69+I69+J69+K69+L69+M69))^(1+N69*0.4)+N69*200+D69*2)*(1+O69*0.25)*0.8</f>
        <v>391.52047845690356</v>
      </c>
      <c r="Q69">
        <v>5</v>
      </c>
      <c r="R69" s="47">
        <f t="shared" ref="R69:R85" si="11">(G69)*(F69+2)*(C69*0.9+4)*0.045</f>
        <v>8.4420000000000002</v>
      </c>
      <c r="S69" t="s">
        <v>205</v>
      </c>
    </row>
    <row r="70" spans="1:19" x14ac:dyDescent="0.15">
      <c r="A70">
        <v>3</v>
      </c>
      <c r="B70" t="s">
        <v>237</v>
      </c>
      <c r="C70">
        <v>5</v>
      </c>
      <c r="D70" s="47">
        <f t="shared" si="9"/>
        <v>42</v>
      </c>
      <c r="E70">
        <v>5</v>
      </c>
      <c r="F70">
        <v>1</v>
      </c>
      <c r="G70">
        <v>8</v>
      </c>
      <c r="H70">
        <v>12</v>
      </c>
      <c r="I70">
        <v>3</v>
      </c>
      <c r="J70">
        <v>5</v>
      </c>
      <c r="K70">
        <v>5</v>
      </c>
      <c r="L70">
        <v>0</v>
      </c>
      <c r="M70">
        <v>0</v>
      </c>
      <c r="N70">
        <v>0.05</v>
      </c>
      <c r="O70">
        <v>0</v>
      </c>
      <c r="P70" s="13">
        <f t="shared" si="10"/>
        <v>529.42026013946543</v>
      </c>
      <c r="Q70">
        <v>3</v>
      </c>
      <c r="R70" s="47">
        <f t="shared" si="11"/>
        <v>9.18</v>
      </c>
      <c r="S70" t="s">
        <v>238</v>
      </c>
    </row>
    <row r="71" spans="1:19" x14ac:dyDescent="0.15">
      <c r="A71">
        <v>3</v>
      </c>
      <c r="B71" t="s">
        <v>239</v>
      </c>
      <c r="C71">
        <v>5</v>
      </c>
      <c r="D71" s="47">
        <f t="shared" si="9"/>
        <v>62.461988440971041</v>
      </c>
      <c r="E71">
        <v>7</v>
      </c>
      <c r="F71">
        <v>1.5</v>
      </c>
      <c r="G71">
        <v>10</v>
      </c>
      <c r="H71">
        <v>8</v>
      </c>
      <c r="I71">
        <v>3</v>
      </c>
      <c r="J71">
        <v>6</v>
      </c>
      <c r="K71">
        <v>4</v>
      </c>
      <c r="L71">
        <v>0</v>
      </c>
      <c r="M71">
        <v>0</v>
      </c>
      <c r="N71">
        <v>0</v>
      </c>
      <c r="O71">
        <v>0</v>
      </c>
      <c r="P71" s="13">
        <f t="shared" si="10"/>
        <v>717.18800131807302</v>
      </c>
      <c r="Q71">
        <v>3</v>
      </c>
      <c r="R71" s="47">
        <f t="shared" si="11"/>
        <v>13.387499999999999</v>
      </c>
    </row>
    <row r="72" spans="1:19" x14ac:dyDescent="0.15">
      <c r="A72">
        <v>3</v>
      </c>
      <c r="B72" t="s">
        <v>240</v>
      </c>
      <c r="C72">
        <v>6</v>
      </c>
      <c r="D72" s="47">
        <f t="shared" si="9"/>
        <v>51.75</v>
      </c>
      <c r="E72">
        <v>10</v>
      </c>
      <c r="F72">
        <v>1</v>
      </c>
      <c r="G72">
        <v>12</v>
      </c>
      <c r="H72">
        <v>14</v>
      </c>
      <c r="I72">
        <v>2</v>
      </c>
      <c r="J72">
        <v>2</v>
      </c>
      <c r="K72">
        <v>4</v>
      </c>
      <c r="L72">
        <v>0</v>
      </c>
      <c r="M72">
        <v>0</v>
      </c>
      <c r="N72">
        <v>0.14000000000000001</v>
      </c>
      <c r="O72">
        <v>0</v>
      </c>
      <c r="P72" s="13">
        <f t="shared" si="10"/>
        <v>795.76471512265061</v>
      </c>
      <c r="Q72">
        <v>3</v>
      </c>
      <c r="R72" s="47">
        <f t="shared" si="11"/>
        <v>15.228000000000002</v>
      </c>
      <c r="S72" t="s">
        <v>385</v>
      </c>
    </row>
    <row r="73" spans="1:19" x14ac:dyDescent="0.15">
      <c r="A73">
        <v>3</v>
      </c>
      <c r="B73" t="s">
        <v>241</v>
      </c>
      <c r="C73">
        <v>4</v>
      </c>
      <c r="D73" s="47">
        <f t="shared" si="9"/>
        <v>10.573244535146248</v>
      </c>
      <c r="E73">
        <v>0</v>
      </c>
      <c r="F73">
        <v>0.6</v>
      </c>
      <c r="G73">
        <v>4</v>
      </c>
      <c r="H73">
        <v>4</v>
      </c>
      <c r="I73">
        <v>4</v>
      </c>
      <c r="J73">
        <v>9</v>
      </c>
      <c r="K73">
        <v>8</v>
      </c>
      <c r="L73">
        <v>0</v>
      </c>
      <c r="M73">
        <v>0</v>
      </c>
      <c r="N73">
        <v>0.14000000000000001</v>
      </c>
      <c r="O73">
        <v>0</v>
      </c>
      <c r="P73" s="13">
        <f t="shared" si="10"/>
        <v>248.7851150008461</v>
      </c>
      <c r="Q73">
        <v>3</v>
      </c>
      <c r="R73" s="47">
        <f t="shared" si="11"/>
        <v>3.5567999999999995</v>
      </c>
      <c r="S73" t="s">
        <v>242</v>
      </c>
    </row>
    <row r="74" spans="1:19" x14ac:dyDescent="0.15">
      <c r="A74">
        <v>3</v>
      </c>
      <c r="B74" t="s">
        <v>243</v>
      </c>
      <c r="C74">
        <v>7</v>
      </c>
      <c r="D74" s="47">
        <f t="shared" si="9"/>
        <v>45</v>
      </c>
      <c r="E74">
        <v>0</v>
      </c>
      <c r="F74">
        <v>1</v>
      </c>
      <c r="G74">
        <v>9</v>
      </c>
      <c r="H74">
        <v>9</v>
      </c>
      <c r="I74">
        <v>6</v>
      </c>
      <c r="J74">
        <v>6</v>
      </c>
      <c r="K74">
        <v>7</v>
      </c>
      <c r="L74">
        <v>4</v>
      </c>
      <c r="M74">
        <v>0</v>
      </c>
      <c r="N74">
        <v>0</v>
      </c>
      <c r="O74">
        <v>0</v>
      </c>
      <c r="P74" s="13">
        <f t="shared" si="10"/>
        <v>802.8949899694984</v>
      </c>
      <c r="Q74">
        <v>3</v>
      </c>
      <c r="R74" s="47">
        <f t="shared" si="11"/>
        <v>12.5145</v>
      </c>
    </row>
    <row r="75" spans="1:19" x14ac:dyDescent="0.15">
      <c r="A75">
        <v>3</v>
      </c>
      <c r="B75" t="s">
        <v>244</v>
      </c>
      <c r="C75">
        <v>7</v>
      </c>
      <c r="D75" s="47">
        <f t="shared" si="9"/>
        <v>32.018061309204839</v>
      </c>
      <c r="E75">
        <v>-1</v>
      </c>
      <c r="F75">
        <v>0.9</v>
      </c>
      <c r="G75">
        <v>6</v>
      </c>
      <c r="H75">
        <v>6</v>
      </c>
      <c r="I75">
        <v>6</v>
      </c>
      <c r="J75">
        <v>9</v>
      </c>
      <c r="K75">
        <v>9</v>
      </c>
      <c r="L75">
        <v>0</v>
      </c>
      <c r="M75">
        <v>0</v>
      </c>
      <c r="N75">
        <v>0.1</v>
      </c>
      <c r="O75">
        <v>0</v>
      </c>
      <c r="P75" s="13">
        <f t="shared" si="10"/>
        <v>809.52058194611027</v>
      </c>
      <c r="Q75" s="1" t="s">
        <v>691</v>
      </c>
      <c r="R75" s="47">
        <f t="shared" si="11"/>
        <v>8.0648999999999997</v>
      </c>
      <c r="S75" t="s">
        <v>205</v>
      </c>
    </row>
    <row r="76" spans="1:19" x14ac:dyDescent="0.15">
      <c r="A76">
        <v>3</v>
      </c>
      <c r="B76" t="s">
        <v>245</v>
      </c>
      <c r="C76">
        <v>7</v>
      </c>
      <c r="D76" s="47">
        <f t="shared" si="9"/>
        <v>32.018061309204839</v>
      </c>
      <c r="E76">
        <v>3</v>
      </c>
      <c r="F76">
        <v>0.9</v>
      </c>
      <c r="G76">
        <v>6</v>
      </c>
      <c r="H76">
        <v>6</v>
      </c>
      <c r="I76">
        <v>8</v>
      </c>
      <c r="J76">
        <v>7</v>
      </c>
      <c r="K76">
        <v>8</v>
      </c>
      <c r="L76">
        <v>0</v>
      </c>
      <c r="M76">
        <v>3</v>
      </c>
      <c r="N76">
        <v>0.1</v>
      </c>
      <c r="O76">
        <v>0</v>
      </c>
      <c r="P76" s="13">
        <f t="shared" si="10"/>
        <v>829.4529314903541</v>
      </c>
      <c r="Q76" s="1" t="s">
        <v>691</v>
      </c>
      <c r="R76" s="47">
        <f t="shared" si="11"/>
        <v>8.0648999999999997</v>
      </c>
      <c r="S76" t="s">
        <v>342</v>
      </c>
    </row>
    <row r="77" spans="1:19" x14ac:dyDescent="0.15">
      <c r="A77">
        <v>3</v>
      </c>
      <c r="B77" t="s">
        <v>246</v>
      </c>
      <c r="C77">
        <v>7</v>
      </c>
      <c r="D77" s="47">
        <f t="shared" si="9"/>
        <v>29.883523888591185</v>
      </c>
      <c r="E77">
        <v>4</v>
      </c>
      <c r="F77">
        <v>0.9</v>
      </c>
      <c r="G77">
        <v>6</v>
      </c>
      <c r="H77">
        <v>5</v>
      </c>
      <c r="I77">
        <v>9</v>
      </c>
      <c r="J77">
        <v>7</v>
      </c>
      <c r="K77">
        <v>8</v>
      </c>
      <c r="L77">
        <v>0</v>
      </c>
      <c r="M77">
        <v>5</v>
      </c>
      <c r="N77">
        <v>0.1</v>
      </c>
      <c r="O77">
        <v>0</v>
      </c>
      <c r="P77" s="13">
        <f t="shared" si="10"/>
        <v>860.96729099804384</v>
      </c>
      <c r="Q77" s="1" t="s">
        <v>691</v>
      </c>
      <c r="R77" s="47">
        <f t="shared" si="11"/>
        <v>8.0648999999999997</v>
      </c>
      <c r="S77" t="s">
        <v>342</v>
      </c>
    </row>
    <row r="78" spans="1:19" ht="12.75" customHeight="1" x14ac:dyDescent="0.15">
      <c r="A78">
        <v>3</v>
      </c>
      <c r="B78" t="s">
        <v>247</v>
      </c>
      <c r="C78">
        <v>8</v>
      </c>
      <c r="D78" s="47">
        <f t="shared" si="9"/>
        <v>55</v>
      </c>
      <c r="E78">
        <v>2</v>
      </c>
      <c r="F78">
        <v>1</v>
      </c>
      <c r="G78">
        <v>8</v>
      </c>
      <c r="H78">
        <v>11</v>
      </c>
      <c r="I78">
        <v>3</v>
      </c>
      <c r="J78">
        <v>5</v>
      </c>
      <c r="K78">
        <v>6</v>
      </c>
      <c r="L78">
        <v>2</v>
      </c>
      <c r="M78">
        <v>0</v>
      </c>
      <c r="N78">
        <v>0.08</v>
      </c>
      <c r="O78">
        <v>0</v>
      </c>
      <c r="P78" s="13">
        <f t="shared" si="10"/>
        <v>999.46452963626837</v>
      </c>
      <c r="Q78">
        <v>3</v>
      </c>
      <c r="R78" s="47">
        <f t="shared" si="11"/>
        <v>12.095999999999998</v>
      </c>
      <c r="S78" t="s">
        <v>207</v>
      </c>
    </row>
    <row r="79" spans="1:19" x14ac:dyDescent="0.15">
      <c r="A79">
        <v>3</v>
      </c>
      <c r="B79" t="s">
        <v>248</v>
      </c>
      <c r="C79">
        <v>7</v>
      </c>
      <c r="D79" s="47">
        <f t="shared" si="9"/>
        <v>51.916037984422509</v>
      </c>
      <c r="E79">
        <v>3</v>
      </c>
      <c r="F79">
        <v>1.1000000000000001</v>
      </c>
      <c r="G79">
        <v>8</v>
      </c>
      <c r="H79">
        <v>9</v>
      </c>
      <c r="I79">
        <v>5</v>
      </c>
      <c r="J79">
        <v>6</v>
      </c>
      <c r="K79">
        <v>6</v>
      </c>
      <c r="L79">
        <v>2</v>
      </c>
      <c r="M79">
        <v>0</v>
      </c>
      <c r="N79">
        <v>0.22</v>
      </c>
      <c r="O79">
        <v>0</v>
      </c>
      <c r="P79" s="13">
        <f t="shared" si="10"/>
        <v>1417.5544557275641</v>
      </c>
      <c r="Q79">
        <v>3</v>
      </c>
      <c r="R79" s="47">
        <f t="shared" si="11"/>
        <v>11.494800000000001</v>
      </c>
      <c r="S79" t="s">
        <v>249</v>
      </c>
    </row>
    <row r="80" spans="1:19" x14ac:dyDescent="0.15">
      <c r="A80">
        <v>3</v>
      </c>
      <c r="B80" t="s">
        <v>250</v>
      </c>
      <c r="C80">
        <v>7</v>
      </c>
      <c r="D80" s="47">
        <f t="shared" si="9"/>
        <v>51.916037984422509</v>
      </c>
      <c r="E80">
        <v>0</v>
      </c>
      <c r="F80">
        <v>1.1000000000000001</v>
      </c>
      <c r="G80">
        <v>8</v>
      </c>
      <c r="H80">
        <v>9</v>
      </c>
      <c r="I80">
        <v>5</v>
      </c>
      <c r="J80">
        <v>8</v>
      </c>
      <c r="K80">
        <v>8</v>
      </c>
      <c r="L80">
        <v>2</v>
      </c>
      <c r="M80">
        <v>0</v>
      </c>
      <c r="N80">
        <v>0</v>
      </c>
      <c r="O80">
        <v>0</v>
      </c>
      <c r="P80" s="13">
        <f t="shared" si="10"/>
        <v>887.50910079552034</v>
      </c>
      <c r="Q80">
        <v>3</v>
      </c>
      <c r="R80" s="47">
        <f t="shared" si="11"/>
        <v>11.494800000000001</v>
      </c>
    </row>
    <row r="81" spans="1:19" ht="12.75" customHeight="1" x14ac:dyDescent="0.15">
      <c r="A81">
        <v>3</v>
      </c>
      <c r="B81" t="s">
        <v>496</v>
      </c>
      <c r="C81">
        <v>7</v>
      </c>
      <c r="D81" s="47">
        <f t="shared" si="9"/>
        <v>15.90990257669732</v>
      </c>
      <c r="E81">
        <v>-1</v>
      </c>
      <c r="F81">
        <v>0.5</v>
      </c>
      <c r="G81">
        <v>6</v>
      </c>
      <c r="H81">
        <v>9</v>
      </c>
      <c r="I81">
        <v>3</v>
      </c>
      <c r="J81">
        <v>10</v>
      </c>
      <c r="K81">
        <v>6</v>
      </c>
      <c r="L81">
        <v>0</v>
      </c>
      <c r="M81">
        <v>0</v>
      </c>
      <c r="N81">
        <v>0.32</v>
      </c>
      <c r="O81">
        <v>0</v>
      </c>
      <c r="P81" s="13">
        <f t="shared" si="10"/>
        <v>620.87648866405789</v>
      </c>
      <c r="Q81">
        <v>3</v>
      </c>
      <c r="R81" s="47">
        <f t="shared" si="11"/>
        <v>6.9524999999999997</v>
      </c>
      <c r="S81" t="s">
        <v>251</v>
      </c>
    </row>
    <row r="82" spans="1:19" x14ac:dyDescent="0.15">
      <c r="A82">
        <v>3</v>
      </c>
      <c r="B82" t="s">
        <v>569</v>
      </c>
      <c r="C82">
        <v>7</v>
      </c>
      <c r="D82" s="47">
        <f t="shared" si="9"/>
        <v>49.031813651954593</v>
      </c>
      <c r="E82">
        <v>2</v>
      </c>
      <c r="F82">
        <v>1.1000000000000001</v>
      </c>
      <c r="G82">
        <v>6</v>
      </c>
      <c r="H82">
        <v>8</v>
      </c>
      <c r="I82">
        <v>7</v>
      </c>
      <c r="J82">
        <v>8</v>
      </c>
      <c r="K82">
        <v>8</v>
      </c>
      <c r="L82">
        <v>2</v>
      </c>
      <c r="M82">
        <v>1</v>
      </c>
      <c r="N82">
        <v>0.15</v>
      </c>
      <c r="O82">
        <v>0</v>
      </c>
      <c r="P82" s="13">
        <f t="shared" si="10"/>
        <v>1305.2464946416658</v>
      </c>
      <c r="Q82">
        <v>3</v>
      </c>
      <c r="R82" s="47">
        <f t="shared" si="11"/>
        <v>8.621100000000002</v>
      </c>
      <c r="S82" t="s">
        <v>343</v>
      </c>
    </row>
    <row r="83" spans="1:19" x14ac:dyDescent="0.15">
      <c r="A83">
        <v>3</v>
      </c>
      <c r="B83" t="s">
        <v>393</v>
      </c>
      <c r="C83">
        <v>11</v>
      </c>
      <c r="D83" s="47">
        <f t="shared" si="9"/>
        <v>186.18842069258764</v>
      </c>
      <c r="E83">
        <v>2</v>
      </c>
      <c r="F83">
        <v>1.7</v>
      </c>
      <c r="G83">
        <v>13</v>
      </c>
      <c r="H83">
        <v>15</v>
      </c>
      <c r="I83">
        <v>3</v>
      </c>
      <c r="J83">
        <v>4</v>
      </c>
      <c r="K83">
        <v>5</v>
      </c>
      <c r="L83">
        <v>7</v>
      </c>
      <c r="M83">
        <v>4</v>
      </c>
      <c r="N83">
        <v>7.4999999999999997E-2</v>
      </c>
      <c r="O83">
        <v>2</v>
      </c>
      <c r="P83" s="13">
        <f t="shared" si="10"/>
        <v>6068.6848207548092</v>
      </c>
      <c r="Q83">
        <v>5</v>
      </c>
      <c r="R83" s="47">
        <f t="shared" si="11"/>
        <v>30.086549999999999</v>
      </c>
      <c r="S83" t="s">
        <v>235</v>
      </c>
    </row>
    <row r="84" spans="1:19" x14ac:dyDescent="0.15">
      <c r="A84">
        <v>3</v>
      </c>
      <c r="B84" t="s">
        <v>253</v>
      </c>
      <c r="C84">
        <v>10</v>
      </c>
      <c r="D84" s="47">
        <f t="shared" si="9"/>
        <v>81.172483022265624</v>
      </c>
      <c r="E84">
        <v>-4</v>
      </c>
      <c r="F84">
        <v>1.2</v>
      </c>
      <c r="G84">
        <v>9</v>
      </c>
      <c r="H84">
        <v>10</v>
      </c>
      <c r="I84">
        <v>6</v>
      </c>
      <c r="J84">
        <v>8</v>
      </c>
      <c r="K84">
        <v>8</v>
      </c>
      <c r="L84">
        <v>3</v>
      </c>
      <c r="M84">
        <v>0</v>
      </c>
      <c r="N84">
        <v>0.1</v>
      </c>
      <c r="O84">
        <v>0</v>
      </c>
      <c r="P84" s="13">
        <f t="shared" si="10"/>
        <v>2189.7172388918966</v>
      </c>
      <c r="Q84">
        <v>4</v>
      </c>
      <c r="R84" s="47">
        <f t="shared" si="11"/>
        <v>16.848000000000003</v>
      </c>
      <c r="S84" t="s">
        <v>401</v>
      </c>
    </row>
    <row r="85" spans="1:19" x14ac:dyDescent="0.15">
      <c r="A85">
        <v>3</v>
      </c>
      <c r="B85" t="s">
        <v>266</v>
      </c>
      <c r="C85">
        <v>12</v>
      </c>
      <c r="D85" s="47">
        <f t="shared" si="9"/>
        <v>157.92767826603415</v>
      </c>
      <c r="E85">
        <v>-4</v>
      </c>
      <c r="F85">
        <v>1.7</v>
      </c>
      <c r="G85">
        <v>11</v>
      </c>
      <c r="H85">
        <v>10</v>
      </c>
      <c r="I85">
        <v>5</v>
      </c>
      <c r="J85">
        <v>7</v>
      </c>
      <c r="K85">
        <v>7</v>
      </c>
      <c r="L85">
        <v>6</v>
      </c>
      <c r="M85">
        <v>2</v>
      </c>
      <c r="N85">
        <v>0.18</v>
      </c>
      <c r="O85">
        <v>1</v>
      </c>
      <c r="P85" s="13">
        <f t="shared" si="10"/>
        <v>7506.5225521170451</v>
      </c>
      <c r="Q85">
        <v>5</v>
      </c>
      <c r="R85" s="47">
        <f t="shared" si="11"/>
        <v>27.106200000000005</v>
      </c>
      <c r="S85" t="s">
        <v>214</v>
      </c>
    </row>
    <row r="86" spans="1:19" x14ac:dyDescent="0.15">
      <c r="A86" s="12" t="s">
        <v>197</v>
      </c>
      <c r="B86" s="51" t="s">
        <v>670</v>
      </c>
      <c r="C86" s="51" t="s">
        <v>181</v>
      </c>
      <c r="D86" s="51" t="s">
        <v>198</v>
      </c>
      <c r="E86" s="51" t="s">
        <v>199</v>
      </c>
      <c r="F86" s="51" t="s">
        <v>200</v>
      </c>
      <c r="G86" s="51" t="s">
        <v>0</v>
      </c>
      <c r="H86" s="51" t="s">
        <v>1</v>
      </c>
      <c r="I86" s="51" t="s">
        <v>82</v>
      </c>
      <c r="J86" s="51" t="s">
        <v>2</v>
      </c>
      <c r="K86" s="51" t="s">
        <v>3</v>
      </c>
      <c r="L86" s="51" t="s">
        <v>442</v>
      </c>
      <c r="M86" s="51" t="s">
        <v>443</v>
      </c>
      <c r="N86" s="51" t="s">
        <v>201</v>
      </c>
      <c r="O86" s="51" t="s">
        <v>391</v>
      </c>
      <c r="P86" s="51" t="s">
        <v>183</v>
      </c>
      <c r="Q86" s="51" t="s">
        <v>182</v>
      </c>
      <c r="R86" s="51" t="s">
        <v>668</v>
      </c>
      <c r="S86" s="52" t="s">
        <v>669</v>
      </c>
    </row>
    <row r="87" spans="1:19" ht="13.5" customHeight="1" x14ac:dyDescent="0.15">
      <c r="A87">
        <v>4</v>
      </c>
      <c r="B87" t="s">
        <v>254</v>
      </c>
      <c r="C87">
        <v>5</v>
      </c>
      <c r="D87" s="47">
        <f t="shared" ref="D87:D104" si="12">(C87+3)*(H87+9)*0.25*F87^1.5</f>
        <v>62.461988440971041</v>
      </c>
      <c r="E87">
        <v>7</v>
      </c>
      <c r="F87">
        <v>1.5</v>
      </c>
      <c r="G87">
        <v>10</v>
      </c>
      <c r="H87">
        <v>8</v>
      </c>
      <c r="I87">
        <v>3</v>
      </c>
      <c r="J87">
        <v>6</v>
      </c>
      <c r="K87">
        <v>4</v>
      </c>
      <c r="L87">
        <v>0</v>
      </c>
      <c r="M87">
        <v>0</v>
      </c>
      <c r="N87">
        <v>0.1</v>
      </c>
      <c r="O87">
        <v>0</v>
      </c>
      <c r="P87" s="13">
        <f t="shared" ref="P87:P104" si="13">(((C87+1.8)^1.4*(F87^1.25)*(-0.25*(E87-10)+G87+H87+I87+J87+K87+L87+M87))^(1+N87*0.4)+N87*200+D87*2)*(1+O87*0.25)*0.8</f>
        <v>921.23432404259643</v>
      </c>
      <c r="Q87">
        <v>6</v>
      </c>
      <c r="R87" s="47">
        <f t="shared" ref="R87:R104" si="14">(G87)*(F87+2)*(C87*0.9+4)*0.045</f>
        <v>13.387499999999999</v>
      </c>
      <c r="S87" t="s">
        <v>205</v>
      </c>
    </row>
    <row r="88" spans="1:19" ht="13.5" customHeight="1" x14ac:dyDescent="0.15">
      <c r="A88">
        <v>4</v>
      </c>
      <c r="B88" t="s">
        <v>403</v>
      </c>
      <c r="C88">
        <v>6</v>
      </c>
      <c r="D88" s="47">
        <f t="shared" si="12"/>
        <v>25.759503100797577</v>
      </c>
      <c r="E88">
        <v>9</v>
      </c>
      <c r="F88">
        <v>0.8</v>
      </c>
      <c r="G88">
        <v>2</v>
      </c>
      <c r="H88">
        <v>7</v>
      </c>
      <c r="I88">
        <v>2</v>
      </c>
      <c r="J88">
        <v>3</v>
      </c>
      <c r="K88">
        <v>10</v>
      </c>
      <c r="L88">
        <v>0</v>
      </c>
      <c r="M88">
        <v>4</v>
      </c>
      <c r="N88">
        <v>0.08</v>
      </c>
      <c r="O88">
        <v>0</v>
      </c>
      <c r="P88" s="13">
        <f t="shared" si="13"/>
        <v>420.8118838909399</v>
      </c>
      <c r="Q88">
        <v>4</v>
      </c>
      <c r="R88" s="47">
        <f t="shared" si="14"/>
        <v>2.3687999999999998</v>
      </c>
      <c r="S88" t="s">
        <v>404</v>
      </c>
    </row>
    <row r="89" spans="1:19" x14ac:dyDescent="0.15">
      <c r="A89">
        <v>4</v>
      </c>
      <c r="B89" t="s">
        <v>339</v>
      </c>
      <c r="C89">
        <v>8</v>
      </c>
      <c r="D89" s="47">
        <f t="shared" si="12"/>
        <v>63.25</v>
      </c>
      <c r="E89">
        <v>10</v>
      </c>
      <c r="F89">
        <v>1</v>
      </c>
      <c r="G89">
        <v>12</v>
      </c>
      <c r="H89">
        <v>14</v>
      </c>
      <c r="I89">
        <v>2</v>
      </c>
      <c r="J89">
        <v>2</v>
      </c>
      <c r="K89">
        <v>4</v>
      </c>
      <c r="L89">
        <v>0</v>
      </c>
      <c r="M89">
        <v>0</v>
      </c>
      <c r="N89">
        <v>0.15</v>
      </c>
      <c r="O89">
        <v>0</v>
      </c>
      <c r="P89" s="13">
        <f t="shared" si="13"/>
        <v>1119.3161641027614</v>
      </c>
      <c r="Q89">
        <v>4</v>
      </c>
      <c r="R89" s="47">
        <f t="shared" si="14"/>
        <v>18.143999999999998</v>
      </c>
      <c r="S89" t="s">
        <v>387</v>
      </c>
    </row>
    <row r="90" spans="1:19" ht="12.75" customHeight="1" x14ac:dyDescent="0.15">
      <c r="A90">
        <v>4</v>
      </c>
      <c r="B90" t="s">
        <v>255</v>
      </c>
      <c r="C90">
        <v>8</v>
      </c>
      <c r="D90" s="47">
        <f t="shared" si="12"/>
        <v>171.11984104714449</v>
      </c>
      <c r="E90">
        <v>3</v>
      </c>
      <c r="F90">
        <v>2</v>
      </c>
      <c r="G90">
        <v>10</v>
      </c>
      <c r="H90">
        <v>13</v>
      </c>
      <c r="I90">
        <v>3</v>
      </c>
      <c r="J90">
        <v>4</v>
      </c>
      <c r="K90">
        <v>6</v>
      </c>
      <c r="L90">
        <v>2</v>
      </c>
      <c r="M90">
        <v>0</v>
      </c>
      <c r="N90">
        <v>0</v>
      </c>
      <c r="O90">
        <v>0</v>
      </c>
      <c r="P90" s="13">
        <f t="shared" si="13"/>
        <v>2120.639605748886</v>
      </c>
      <c r="Q90">
        <v>4</v>
      </c>
      <c r="R90" s="47">
        <f t="shared" si="14"/>
        <v>20.16</v>
      </c>
    </row>
    <row r="91" spans="1:19" x14ac:dyDescent="0.15">
      <c r="A91">
        <v>4</v>
      </c>
      <c r="B91" t="s">
        <v>270</v>
      </c>
      <c r="C91">
        <v>8</v>
      </c>
      <c r="D91" s="47">
        <f t="shared" si="12"/>
        <v>11.667261889578034</v>
      </c>
      <c r="E91">
        <v>-24</v>
      </c>
      <c r="F91">
        <v>0.5</v>
      </c>
      <c r="G91">
        <v>2</v>
      </c>
      <c r="H91">
        <v>3</v>
      </c>
      <c r="I91">
        <v>8</v>
      </c>
      <c r="J91">
        <v>8</v>
      </c>
      <c r="K91">
        <v>10</v>
      </c>
      <c r="L91">
        <v>0</v>
      </c>
      <c r="M91">
        <v>17</v>
      </c>
      <c r="N91">
        <v>0.28000000000000003</v>
      </c>
      <c r="O91">
        <v>0</v>
      </c>
      <c r="P91" s="13">
        <f t="shared" si="13"/>
        <v>1009.8723914371453</v>
      </c>
      <c r="Q91">
        <v>4</v>
      </c>
      <c r="R91" s="47">
        <f t="shared" si="14"/>
        <v>2.52</v>
      </c>
      <c r="S91" t="s">
        <v>271</v>
      </c>
    </row>
    <row r="92" spans="1:19" x14ac:dyDescent="0.15">
      <c r="A92">
        <v>4</v>
      </c>
      <c r="B92" t="s">
        <v>257</v>
      </c>
      <c r="C92">
        <v>7</v>
      </c>
      <c r="D92" s="47">
        <f t="shared" si="12"/>
        <v>27.5</v>
      </c>
      <c r="E92">
        <v>-11</v>
      </c>
      <c r="F92">
        <v>1</v>
      </c>
      <c r="G92">
        <v>2</v>
      </c>
      <c r="H92">
        <v>2</v>
      </c>
      <c r="I92">
        <v>8</v>
      </c>
      <c r="J92">
        <v>8</v>
      </c>
      <c r="K92">
        <v>12</v>
      </c>
      <c r="L92">
        <v>0</v>
      </c>
      <c r="M92">
        <v>5</v>
      </c>
      <c r="N92">
        <v>0.1</v>
      </c>
      <c r="O92">
        <v>0</v>
      </c>
      <c r="P92" s="13">
        <f t="shared" si="13"/>
        <v>991.35776436484775</v>
      </c>
      <c r="Q92">
        <v>4</v>
      </c>
      <c r="R92" s="47">
        <f t="shared" si="14"/>
        <v>2.7810000000000001</v>
      </c>
      <c r="S92" t="s">
        <v>394</v>
      </c>
    </row>
    <row r="93" spans="1:19" x14ac:dyDescent="0.15">
      <c r="A93">
        <v>4</v>
      </c>
      <c r="B93" t="s">
        <v>258</v>
      </c>
      <c r="C93">
        <v>6</v>
      </c>
      <c r="D93" s="47">
        <f t="shared" si="12"/>
        <v>38.25</v>
      </c>
      <c r="E93">
        <v>-2</v>
      </c>
      <c r="F93">
        <v>1</v>
      </c>
      <c r="G93">
        <v>8</v>
      </c>
      <c r="H93">
        <v>8</v>
      </c>
      <c r="I93">
        <v>5</v>
      </c>
      <c r="J93">
        <v>9</v>
      </c>
      <c r="K93">
        <v>8</v>
      </c>
      <c r="L93">
        <v>0</v>
      </c>
      <c r="M93">
        <v>4</v>
      </c>
      <c r="N93">
        <v>0.22</v>
      </c>
      <c r="O93">
        <v>0</v>
      </c>
      <c r="P93" s="13">
        <f t="shared" si="13"/>
        <v>1246.2036972243664</v>
      </c>
      <c r="Q93">
        <v>4</v>
      </c>
      <c r="R93" s="47">
        <f t="shared" si="14"/>
        <v>10.152000000000001</v>
      </c>
      <c r="S93" t="s">
        <v>249</v>
      </c>
    </row>
    <row r="94" spans="1:19" x14ac:dyDescent="0.15">
      <c r="A94">
        <v>4</v>
      </c>
      <c r="B94" t="s">
        <v>402</v>
      </c>
      <c r="C94">
        <v>8</v>
      </c>
      <c r="D94" s="47">
        <f t="shared" si="12"/>
        <v>100.18095627413427</v>
      </c>
      <c r="E94">
        <v>2</v>
      </c>
      <c r="F94">
        <v>1.6</v>
      </c>
      <c r="G94">
        <v>11</v>
      </c>
      <c r="H94">
        <v>9</v>
      </c>
      <c r="I94">
        <v>3</v>
      </c>
      <c r="J94">
        <v>6</v>
      </c>
      <c r="K94">
        <v>6</v>
      </c>
      <c r="L94">
        <v>4</v>
      </c>
      <c r="M94">
        <v>0</v>
      </c>
      <c r="N94">
        <v>0</v>
      </c>
      <c r="O94">
        <v>0</v>
      </c>
      <c r="P94" s="13">
        <f t="shared" si="13"/>
        <v>1601.5428741909186</v>
      </c>
      <c r="Q94">
        <v>4</v>
      </c>
      <c r="R94" s="47">
        <f t="shared" si="14"/>
        <v>19.958399999999997</v>
      </c>
    </row>
    <row r="95" spans="1:19" x14ac:dyDescent="0.15">
      <c r="A95">
        <v>4</v>
      </c>
      <c r="B95" t="s">
        <v>259</v>
      </c>
      <c r="C95">
        <v>8</v>
      </c>
      <c r="D95" s="47">
        <f t="shared" si="12"/>
        <v>46.75</v>
      </c>
      <c r="E95">
        <v>-1</v>
      </c>
      <c r="F95">
        <v>1</v>
      </c>
      <c r="G95">
        <v>6</v>
      </c>
      <c r="H95">
        <v>8</v>
      </c>
      <c r="I95">
        <v>8</v>
      </c>
      <c r="J95">
        <v>8</v>
      </c>
      <c r="K95">
        <v>9</v>
      </c>
      <c r="L95">
        <v>2</v>
      </c>
      <c r="M95">
        <v>3</v>
      </c>
      <c r="N95">
        <v>0.14000000000000001</v>
      </c>
      <c r="O95">
        <v>0</v>
      </c>
      <c r="P95" s="13">
        <f t="shared" si="13"/>
        <v>1451.7904297103078</v>
      </c>
      <c r="Q95">
        <v>4</v>
      </c>
      <c r="R95" s="47">
        <f t="shared" si="14"/>
        <v>9.0719999999999992</v>
      </c>
      <c r="S95" t="s">
        <v>395</v>
      </c>
    </row>
    <row r="96" spans="1:19" x14ac:dyDescent="0.15">
      <c r="A96">
        <v>4</v>
      </c>
      <c r="B96" t="s">
        <v>260</v>
      </c>
      <c r="C96">
        <v>9</v>
      </c>
      <c r="D96" s="47">
        <f t="shared" si="12"/>
        <v>72</v>
      </c>
      <c r="E96">
        <v>6</v>
      </c>
      <c r="F96">
        <v>1</v>
      </c>
      <c r="G96">
        <v>9</v>
      </c>
      <c r="H96">
        <v>15</v>
      </c>
      <c r="I96">
        <v>2</v>
      </c>
      <c r="J96">
        <v>5</v>
      </c>
      <c r="K96">
        <v>5</v>
      </c>
      <c r="L96">
        <v>1</v>
      </c>
      <c r="M96">
        <v>2</v>
      </c>
      <c r="N96">
        <v>0.05</v>
      </c>
      <c r="O96">
        <v>0</v>
      </c>
      <c r="P96" s="13">
        <f t="shared" si="13"/>
        <v>1153.3970477481489</v>
      </c>
      <c r="Q96">
        <v>4</v>
      </c>
      <c r="R96" s="47">
        <f t="shared" si="14"/>
        <v>14.701499999999999</v>
      </c>
      <c r="S96" t="s">
        <v>396</v>
      </c>
    </row>
    <row r="97" spans="1:19" ht="12.75" customHeight="1" x14ac:dyDescent="0.15">
      <c r="A97">
        <v>4</v>
      </c>
      <c r="B97" t="s">
        <v>261</v>
      </c>
      <c r="C97">
        <v>10</v>
      </c>
      <c r="D97" s="47">
        <f t="shared" si="12"/>
        <v>58.5</v>
      </c>
      <c r="E97">
        <v>-4</v>
      </c>
      <c r="F97">
        <v>1</v>
      </c>
      <c r="G97">
        <v>9</v>
      </c>
      <c r="H97">
        <v>9</v>
      </c>
      <c r="I97">
        <v>6</v>
      </c>
      <c r="J97">
        <v>6</v>
      </c>
      <c r="K97">
        <v>7</v>
      </c>
      <c r="L97">
        <v>5</v>
      </c>
      <c r="M97">
        <v>0</v>
      </c>
      <c r="N97">
        <v>0</v>
      </c>
      <c r="O97">
        <v>0</v>
      </c>
      <c r="P97" s="13">
        <f t="shared" si="13"/>
        <v>1246.3528214929665</v>
      </c>
      <c r="Q97">
        <v>5</v>
      </c>
      <c r="R97" s="47">
        <f t="shared" si="14"/>
        <v>15.795</v>
      </c>
    </row>
    <row r="98" spans="1:19" ht="12.75" customHeight="1" x14ac:dyDescent="0.15">
      <c r="A98">
        <v>4</v>
      </c>
      <c r="B98" t="s">
        <v>262</v>
      </c>
      <c r="C98">
        <v>10</v>
      </c>
      <c r="D98" s="47">
        <f t="shared" si="12"/>
        <v>41.623479701966296</v>
      </c>
      <c r="E98">
        <v>-6</v>
      </c>
      <c r="F98">
        <v>0.9</v>
      </c>
      <c r="G98">
        <v>6</v>
      </c>
      <c r="H98">
        <v>6</v>
      </c>
      <c r="I98">
        <v>7</v>
      </c>
      <c r="J98">
        <v>9</v>
      </c>
      <c r="K98">
        <v>9</v>
      </c>
      <c r="L98">
        <v>0</v>
      </c>
      <c r="M98">
        <v>0</v>
      </c>
      <c r="N98">
        <v>0.1</v>
      </c>
      <c r="O98">
        <v>0</v>
      </c>
      <c r="P98" s="13">
        <f t="shared" si="13"/>
        <v>1289.1901825735074</v>
      </c>
      <c r="Q98" s="1" t="s">
        <v>691</v>
      </c>
      <c r="R98" s="47">
        <f t="shared" si="14"/>
        <v>10.178999999999998</v>
      </c>
      <c r="S98" t="s">
        <v>205</v>
      </c>
    </row>
    <row r="99" spans="1:19" ht="12.75" customHeight="1" x14ac:dyDescent="0.15">
      <c r="A99">
        <v>4</v>
      </c>
      <c r="B99" t="s">
        <v>263</v>
      </c>
      <c r="C99">
        <v>10</v>
      </c>
      <c r="D99" s="47">
        <f t="shared" si="12"/>
        <v>41.623479701966296</v>
      </c>
      <c r="E99">
        <v>0</v>
      </c>
      <c r="F99">
        <v>0.9</v>
      </c>
      <c r="G99">
        <v>6</v>
      </c>
      <c r="H99">
        <v>6</v>
      </c>
      <c r="I99">
        <v>8</v>
      </c>
      <c r="J99">
        <v>7</v>
      </c>
      <c r="K99">
        <v>8</v>
      </c>
      <c r="L99">
        <v>0</v>
      </c>
      <c r="M99">
        <v>4</v>
      </c>
      <c r="N99">
        <v>0.15</v>
      </c>
      <c r="O99">
        <v>0</v>
      </c>
      <c r="P99" s="13">
        <f t="shared" si="13"/>
        <v>1497.5039290198142</v>
      </c>
      <c r="Q99" s="1" t="s">
        <v>691</v>
      </c>
      <c r="R99" s="47">
        <f t="shared" si="14"/>
        <v>10.178999999999998</v>
      </c>
      <c r="S99" t="s">
        <v>233</v>
      </c>
    </row>
    <row r="100" spans="1:19" ht="12.75" customHeight="1" x14ac:dyDescent="0.15">
      <c r="A100">
        <v>4</v>
      </c>
      <c r="B100" t="s">
        <v>264</v>
      </c>
      <c r="C100">
        <v>10</v>
      </c>
      <c r="D100" s="47">
        <f t="shared" si="12"/>
        <v>38.848581055168538</v>
      </c>
      <c r="E100">
        <v>3</v>
      </c>
      <c r="F100">
        <v>0.9</v>
      </c>
      <c r="G100">
        <v>6</v>
      </c>
      <c r="H100">
        <v>5</v>
      </c>
      <c r="I100">
        <v>9</v>
      </c>
      <c r="J100">
        <v>7</v>
      </c>
      <c r="K100">
        <v>8</v>
      </c>
      <c r="L100">
        <v>0</v>
      </c>
      <c r="M100">
        <v>6</v>
      </c>
      <c r="N100">
        <v>0.15</v>
      </c>
      <c r="O100">
        <v>0</v>
      </c>
      <c r="P100" s="13">
        <f t="shared" si="13"/>
        <v>1538.0236028301567</v>
      </c>
      <c r="Q100" s="1" t="s">
        <v>691</v>
      </c>
      <c r="R100" s="47">
        <f t="shared" si="14"/>
        <v>10.178999999999998</v>
      </c>
      <c r="S100" t="s">
        <v>233</v>
      </c>
    </row>
    <row r="101" spans="1:19" x14ac:dyDescent="0.15">
      <c r="A101">
        <v>4</v>
      </c>
      <c r="B101" t="s">
        <v>265</v>
      </c>
      <c r="C101">
        <v>12</v>
      </c>
      <c r="D101" s="47">
        <f t="shared" si="12"/>
        <v>124.0054182283984</v>
      </c>
      <c r="E101">
        <v>-7</v>
      </c>
      <c r="F101">
        <v>1.5</v>
      </c>
      <c r="G101">
        <v>10</v>
      </c>
      <c r="H101">
        <v>9</v>
      </c>
      <c r="I101">
        <v>5</v>
      </c>
      <c r="J101">
        <v>9</v>
      </c>
      <c r="K101">
        <v>8</v>
      </c>
      <c r="L101">
        <v>1</v>
      </c>
      <c r="M101">
        <v>2</v>
      </c>
      <c r="N101">
        <v>0.1</v>
      </c>
      <c r="O101">
        <v>1</v>
      </c>
      <c r="P101" s="13">
        <f t="shared" si="13"/>
        <v>4627.3413456992002</v>
      </c>
      <c r="Q101">
        <v>5</v>
      </c>
      <c r="R101" s="47">
        <f t="shared" si="14"/>
        <v>23.31</v>
      </c>
      <c r="S101" t="s">
        <v>205</v>
      </c>
    </row>
    <row r="102" spans="1:19" x14ac:dyDescent="0.15">
      <c r="A102">
        <v>4</v>
      </c>
      <c r="B102" t="s">
        <v>252</v>
      </c>
      <c r="C102">
        <v>13</v>
      </c>
      <c r="D102" s="47">
        <f t="shared" si="12"/>
        <v>231.8355279071782</v>
      </c>
      <c r="E102">
        <v>1</v>
      </c>
      <c r="F102">
        <v>1.8</v>
      </c>
      <c r="G102">
        <v>13</v>
      </c>
      <c r="H102">
        <v>15</v>
      </c>
      <c r="I102">
        <v>3</v>
      </c>
      <c r="J102">
        <v>4</v>
      </c>
      <c r="K102">
        <v>5</v>
      </c>
      <c r="L102">
        <v>9</v>
      </c>
      <c r="M102">
        <v>6</v>
      </c>
      <c r="N102">
        <v>7.4999999999999997E-2</v>
      </c>
      <c r="O102">
        <v>2</v>
      </c>
      <c r="P102" s="13">
        <f t="shared" si="13"/>
        <v>8625.7930763479017</v>
      </c>
      <c r="Q102">
        <v>6</v>
      </c>
      <c r="R102" s="47">
        <f t="shared" si="14"/>
        <v>34.9011</v>
      </c>
      <c r="S102" t="s">
        <v>235</v>
      </c>
    </row>
    <row r="103" spans="1:19" x14ac:dyDescent="0.15">
      <c r="A103">
        <v>4</v>
      </c>
      <c r="B103" t="s">
        <v>191</v>
      </c>
      <c r="C103">
        <v>15</v>
      </c>
      <c r="D103" s="47">
        <f t="shared" si="12"/>
        <v>293.68146008898833</v>
      </c>
      <c r="E103">
        <v>-4</v>
      </c>
      <c r="F103">
        <v>2.2000000000000002</v>
      </c>
      <c r="G103">
        <v>11</v>
      </c>
      <c r="H103">
        <v>11</v>
      </c>
      <c r="I103">
        <v>11</v>
      </c>
      <c r="J103">
        <v>6</v>
      </c>
      <c r="K103">
        <v>8</v>
      </c>
      <c r="L103">
        <v>9</v>
      </c>
      <c r="M103">
        <v>6</v>
      </c>
      <c r="N103">
        <v>0.22</v>
      </c>
      <c r="O103">
        <v>0</v>
      </c>
      <c r="P103" s="13">
        <f t="shared" si="13"/>
        <v>16769.805617302838</v>
      </c>
      <c r="Q103">
        <v>6</v>
      </c>
      <c r="R103" s="47">
        <f t="shared" si="14"/>
        <v>36.3825</v>
      </c>
      <c r="S103" t="s">
        <v>249</v>
      </c>
    </row>
    <row r="104" spans="1:19" x14ac:dyDescent="0.15">
      <c r="A104">
        <v>4</v>
      </c>
      <c r="B104" t="s">
        <v>384</v>
      </c>
      <c r="C104">
        <v>11</v>
      </c>
      <c r="D104" s="47">
        <f t="shared" si="12"/>
        <v>98.568165499820481</v>
      </c>
      <c r="E104">
        <v>-3</v>
      </c>
      <c r="F104">
        <v>1.3</v>
      </c>
      <c r="G104">
        <v>9</v>
      </c>
      <c r="H104">
        <v>10</v>
      </c>
      <c r="I104">
        <v>3</v>
      </c>
      <c r="J104">
        <v>6</v>
      </c>
      <c r="K104">
        <v>6</v>
      </c>
      <c r="L104">
        <v>10</v>
      </c>
      <c r="M104">
        <v>0</v>
      </c>
      <c r="N104">
        <v>0</v>
      </c>
      <c r="O104">
        <v>0</v>
      </c>
      <c r="P104" s="13">
        <f t="shared" si="13"/>
        <v>2019.8602926536962</v>
      </c>
      <c r="Q104" s="1" t="s">
        <v>358</v>
      </c>
      <c r="R104" s="47">
        <f t="shared" si="14"/>
        <v>18.577349999999999</v>
      </c>
    </row>
    <row r="105" spans="1:19" ht="13.5" customHeight="1" x14ac:dyDescent="0.15">
      <c r="A105" s="12" t="s">
        <v>197</v>
      </c>
      <c r="B105" s="51" t="s">
        <v>670</v>
      </c>
      <c r="C105" s="51" t="s">
        <v>181</v>
      </c>
      <c r="D105" s="51" t="s">
        <v>198</v>
      </c>
      <c r="E105" s="51" t="s">
        <v>199</v>
      </c>
      <c r="F105" s="51" t="s">
        <v>200</v>
      </c>
      <c r="G105" s="51" t="s">
        <v>0</v>
      </c>
      <c r="H105" s="51" t="s">
        <v>1</v>
      </c>
      <c r="I105" s="51" t="s">
        <v>82</v>
      </c>
      <c r="J105" s="51" t="s">
        <v>2</v>
      </c>
      <c r="K105" s="51" t="s">
        <v>3</v>
      </c>
      <c r="L105" s="51" t="s">
        <v>442</v>
      </c>
      <c r="M105" s="51" t="s">
        <v>443</v>
      </c>
      <c r="N105" s="51" t="s">
        <v>201</v>
      </c>
      <c r="O105" s="51" t="s">
        <v>391</v>
      </c>
      <c r="P105" s="51" t="s">
        <v>183</v>
      </c>
      <c r="Q105" s="51" t="s">
        <v>182</v>
      </c>
      <c r="R105" s="51" t="s">
        <v>668</v>
      </c>
      <c r="S105" s="52" t="s">
        <v>669</v>
      </c>
    </row>
    <row r="106" spans="1:19" ht="12.75" customHeight="1" x14ac:dyDescent="0.15">
      <c r="A106">
        <v>5</v>
      </c>
      <c r="B106" t="s">
        <v>507</v>
      </c>
      <c r="C106">
        <v>8</v>
      </c>
      <c r="D106" s="47">
        <f t="shared" ref="D106:D123" si="15">(C106+3)*(H106+9)*0.25*F106^1.5</f>
        <v>11.667261889578034</v>
      </c>
      <c r="E106">
        <v>-24</v>
      </c>
      <c r="F106">
        <v>0.5</v>
      </c>
      <c r="G106">
        <v>2</v>
      </c>
      <c r="H106">
        <v>3</v>
      </c>
      <c r="I106">
        <v>8</v>
      </c>
      <c r="J106">
        <v>8</v>
      </c>
      <c r="K106">
        <v>10</v>
      </c>
      <c r="L106">
        <v>0</v>
      </c>
      <c r="M106">
        <v>17</v>
      </c>
      <c r="N106">
        <v>0.28000000000000003</v>
      </c>
      <c r="O106">
        <v>0</v>
      </c>
      <c r="P106" s="13">
        <f t="shared" ref="P106:P123" si="16">(((C106+1.8)^1.4*(F106^1.25)*(-0.25*(E106-10)+G106+H106+I106+J106+K106+L106+M106))^(1+N106*0.4)+N106*200+D106*2)*(1+O106*0.25)*0.8</f>
        <v>1009.8723914371453</v>
      </c>
      <c r="Q106">
        <v>8</v>
      </c>
      <c r="R106" s="47">
        <f t="shared" ref="R106:R123" si="17">(G106)*(F106+2)*(C106*0.9+4)*0.045</f>
        <v>2.52</v>
      </c>
      <c r="S106" t="s">
        <v>275</v>
      </c>
    </row>
    <row r="107" spans="1:19" x14ac:dyDescent="0.15">
      <c r="A107">
        <v>5</v>
      </c>
      <c r="B107" t="s">
        <v>256</v>
      </c>
      <c r="C107">
        <v>10</v>
      </c>
      <c r="D107" s="47">
        <f t="shared" si="15"/>
        <v>58.5</v>
      </c>
      <c r="E107">
        <v>1</v>
      </c>
      <c r="F107">
        <v>1</v>
      </c>
      <c r="G107">
        <v>8</v>
      </c>
      <c r="H107">
        <v>9</v>
      </c>
      <c r="I107">
        <v>5</v>
      </c>
      <c r="J107">
        <v>6</v>
      </c>
      <c r="K107">
        <v>6</v>
      </c>
      <c r="L107">
        <v>3</v>
      </c>
      <c r="M107">
        <v>0</v>
      </c>
      <c r="N107">
        <v>0.22</v>
      </c>
      <c r="O107">
        <v>0</v>
      </c>
      <c r="P107" s="13">
        <f t="shared" si="16"/>
        <v>1990.3650289732304</v>
      </c>
      <c r="Q107">
        <v>5</v>
      </c>
      <c r="R107" s="47">
        <f t="shared" si="17"/>
        <v>14.04</v>
      </c>
      <c r="S107" t="s">
        <v>249</v>
      </c>
    </row>
    <row r="108" spans="1:19" x14ac:dyDescent="0.15">
      <c r="A108">
        <v>5</v>
      </c>
      <c r="B108" t="s">
        <v>276</v>
      </c>
      <c r="C108">
        <v>11</v>
      </c>
      <c r="D108" s="47">
        <f t="shared" si="15"/>
        <v>104.35964737387722</v>
      </c>
      <c r="E108">
        <v>-4</v>
      </c>
      <c r="F108">
        <v>1.4</v>
      </c>
      <c r="G108">
        <v>8</v>
      </c>
      <c r="H108">
        <v>9</v>
      </c>
      <c r="I108">
        <v>6</v>
      </c>
      <c r="J108">
        <v>9</v>
      </c>
      <c r="K108">
        <v>7</v>
      </c>
      <c r="L108">
        <v>0</v>
      </c>
      <c r="M108">
        <v>0</v>
      </c>
      <c r="N108">
        <v>0.1</v>
      </c>
      <c r="O108">
        <v>0</v>
      </c>
      <c r="P108" s="13">
        <f t="shared" si="16"/>
        <v>2687.2309367317275</v>
      </c>
      <c r="Q108">
        <v>5</v>
      </c>
      <c r="R108" s="47">
        <f t="shared" si="17"/>
        <v>17.0136</v>
      </c>
      <c r="S108" t="s">
        <v>205</v>
      </c>
    </row>
    <row r="109" spans="1:19" x14ac:dyDescent="0.15">
      <c r="A109">
        <v>5</v>
      </c>
      <c r="B109" t="s">
        <v>350</v>
      </c>
      <c r="C109">
        <v>14</v>
      </c>
      <c r="D109" s="47">
        <f t="shared" si="15"/>
        <v>133.76256389588229</v>
      </c>
      <c r="E109">
        <v>-8</v>
      </c>
      <c r="F109">
        <v>1.4</v>
      </c>
      <c r="G109">
        <v>9</v>
      </c>
      <c r="H109">
        <v>10</v>
      </c>
      <c r="I109">
        <v>7</v>
      </c>
      <c r="J109">
        <v>10</v>
      </c>
      <c r="K109">
        <v>8</v>
      </c>
      <c r="L109">
        <v>0</v>
      </c>
      <c r="M109">
        <v>0</v>
      </c>
      <c r="N109">
        <v>0.1</v>
      </c>
      <c r="O109">
        <v>0</v>
      </c>
      <c r="P109" s="13">
        <f t="shared" si="16"/>
        <v>4133.6852756246926</v>
      </c>
      <c r="Q109">
        <v>6</v>
      </c>
      <c r="R109" s="47">
        <f t="shared" si="17"/>
        <v>22.8582</v>
      </c>
      <c r="S109" t="s">
        <v>205</v>
      </c>
    </row>
    <row r="110" spans="1:19" x14ac:dyDescent="0.15">
      <c r="A110">
        <v>5</v>
      </c>
      <c r="B110" t="s">
        <v>267</v>
      </c>
      <c r="C110">
        <v>12</v>
      </c>
      <c r="D110" s="47">
        <f t="shared" si="15"/>
        <v>56.25</v>
      </c>
      <c r="E110">
        <v>-3</v>
      </c>
      <c r="F110">
        <v>1</v>
      </c>
      <c r="G110">
        <v>7</v>
      </c>
      <c r="H110">
        <v>6</v>
      </c>
      <c r="I110">
        <v>2</v>
      </c>
      <c r="J110">
        <v>6</v>
      </c>
      <c r="K110">
        <v>8</v>
      </c>
      <c r="L110">
        <v>5</v>
      </c>
      <c r="M110">
        <v>0</v>
      </c>
      <c r="N110">
        <v>-0.01</v>
      </c>
      <c r="O110">
        <v>0</v>
      </c>
      <c r="P110" s="13">
        <f t="shared" si="16"/>
        <v>1229.6457074646059</v>
      </c>
      <c r="Q110">
        <v>5</v>
      </c>
      <c r="R110" s="47">
        <f t="shared" si="17"/>
        <v>13.986000000000001</v>
      </c>
      <c r="S110" t="s">
        <v>397</v>
      </c>
    </row>
    <row r="111" spans="1:19" x14ac:dyDescent="0.15">
      <c r="A111">
        <v>5</v>
      </c>
      <c r="B111" t="s">
        <v>268</v>
      </c>
      <c r="C111">
        <v>10</v>
      </c>
      <c r="D111" s="47">
        <f t="shared" si="15"/>
        <v>74.75</v>
      </c>
      <c r="E111">
        <v>10</v>
      </c>
      <c r="F111">
        <v>1</v>
      </c>
      <c r="G111">
        <v>12</v>
      </c>
      <c r="H111">
        <v>14</v>
      </c>
      <c r="I111">
        <v>2</v>
      </c>
      <c r="J111">
        <v>2</v>
      </c>
      <c r="K111">
        <v>4</v>
      </c>
      <c r="L111">
        <v>0</v>
      </c>
      <c r="M111">
        <v>0</v>
      </c>
      <c r="N111">
        <v>0.17</v>
      </c>
      <c r="O111">
        <v>0</v>
      </c>
      <c r="P111" s="13">
        <f t="shared" si="16"/>
        <v>1531.6012526494026</v>
      </c>
      <c r="Q111">
        <v>5</v>
      </c>
      <c r="R111" s="47">
        <f t="shared" si="17"/>
        <v>21.06</v>
      </c>
      <c r="S111" t="s">
        <v>386</v>
      </c>
    </row>
    <row r="112" spans="1:19" ht="12.75" customHeight="1" x14ac:dyDescent="0.15">
      <c r="A112">
        <v>5</v>
      </c>
      <c r="B112" t="s">
        <v>261</v>
      </c>
      <c r="C112">
        <v>12</v>
      </c>
      <c r="D112" s="47">
        <f t="shared" si="15"/>
        <v>67.5</v>
      </c>
      <c r="E112">
        <v>-6</v>
      </c>
      <c r="F112">
        <v>1</v>
      </c>
      <c r="G112">
        <v>9</v>
      </c>
      <c r="H112">
        <v>9</v>
      </c>
      <c r="I112">
        <v>6</v>
      </c>
      <c r="J112">
        <v>6</v>
      </c>
      <c r="K112">
        <v>7</v>
      </c>
      <c r="L112">
        <v>5</v>
      </c>
      <c r="M112">
        <v>0</v>
      </c>
      <c r="N112">
        <v>0</v>
      </c>
      <c r="O112">
        <v>0</v>
      </c>
      <c r="P112" s="13">
        <f t="shared" si="16"/>
        <v>1559.0371770103031</v>
      </c>
      <c r="Q112">
        <v>6</v>
      </c>
      <c r="R112" s="47">
        <f t="shared" si="17"/>
        <v>17.981999999999999</v>
      </c>
    </row>
    <row r="113" spans="1:19" ht="12.75" customHeight="1" x14ac:dyDescent="0.15">
      <c r="A113">
        <v>5</v>
      </c>
      <c r="B113" t="s">
        <v>262</v>
      </c>
      <c r="C113">
        <v>12</v>
      </c>
      <c r="D113" s="47">
        <f t="shared" si="15"/>
        <v>48.027091963807266</v>
      </c>
      <c r="E113">
        <v>-8</v>
      </c>
      <c r="F113">
        <v>0.9</v>
      </c>
      <c r="G113">
        <v>6</v>
      </c>
      <c r="H113">
        <v>6</v>
      </c>
      <c r="I113">
        <v>7</v>
      </c>
      <c r="J113">
        <v>9</v>
      </c>
      <c r="K113">
        <v>9</v>
      </c>
      <c r="L113">
        <v>0</v>
      </c>
      <c r="M113">
        <v>0</v>
      </c>
      <c r="N113">
        <v>0.1</v>
      </c>
      <c r="O113">
        <v>0</v>
      </c>
      <c r="P113" s="13">
        <f t="shared" si="16"/>
        <v>1627.5989221909708</v>
      </c>
      <c r="Q113" s="1" t="s">
        <v>691</v>
      </c>
      <c r="R113" s="47">
        <f t="shared" si="17"/>
        <v>11.588399999999998</v>
      </c>
      <c r="S113" t="s">
        <v>205</v>
      </c>
    </row>
    <row r="114" spans="1:19" ht="12.75" customHeight="1" x14ac:dyDescent="0.15">
      <c r="A114">
        <v>5</v>
      </c>
      <c r="B114" t="s">
        <v>263</v>
      </c>
      <c r="C114">
        <v>12</v>
      </c>
      <c r="D114" s="47">
        <f t="shared" si="15"/>
        <v>48.027091963807266</v>
      </c>
      <c r="E114">
        <v>-2</v>
      </c>
      <c r="F114">
        <v>0.9</v>
      </c>
      <c r="G114">
        <v>6</v>
      </c>
      <c r="H114">
        <v>6</v>
      </c>
      <c r="I114">
        <v>8</v>
      </c>
      <c r="J114">
        <v>7</v>
      </c>
      <c r="K114">
        <v>8</v>
      </c>
      <c r="L114">
        <v>0</v>
      </c>
      <c r="M114">
        <v>5</v>
      </c>
      <c r="N114">
        <v>0.15</v>
      </c>
      <c r="O114">
        <v>0</v>
      </c>
      <c r="P114" s="13">
        <f t="shared" si="16"/>
        <v>1943.8140826993201</v>
      </c>
      <c r="Q114" s="1" t="s">
        <v>691</v>
      </c>
      <c r="R114" s="47">
        <f t="shared" si="17"/>
        <v>11.588399999999998</v>
      </c>
      <c r="S114" t="s">
        <v>233</v>
      </c>
    </row>
    <row r="115" spans="1:19" x14ac:dyDescent="0.15">
      <c r="A115">
        <v>5</v>
      </c>
      <c r="B115" t="s">
        <v>264</v>
      </c>
      <c r="C115">
        <v>12</v>
      </c>
      <c r="D115" s="47">
        <f t="shared" si="15"/>
        <v>44.825285832886777</v>
      </c>
      <c r="E115">
        <v>2</v>
      </c>
      <c r="F115">
        <v>0.9</v>
      </c>
      <c r="G115">
        <v>6</v>
      </c>
      <c r="H115">
        <v>5</v>
      </c>
      <c r="I115">
        <v>9</v>
      </c>
      <c r="J115">
        <v>7</v>
      </c>
      <c r="K115">
        <v>8</v>
      </c>
      <c r="L115">
        <v>0</v>
      </c>
      <c r="M115">
        <v>7</v>
      </c>
      <c r="N115">
        <v>0.15</v>
      </c>
      <c r="O115">
        <v>0</v>
      </c>
      <c r="P115" s="13">
        <f t="shared" si="16"/>
        <v>1984.154032420998</v>
      </c>
      <c r="Q115" s="1" t="s">
        <v>691</v>
      </c>
      <c r="R115" s="47">
        <f t="shared" si="17"/>
        <v>11.588399999999998</v>
      </c>
      <c r="S115" t="s">
        <v>233</v>
      </c>
    </row>
    <row r="116" spans="1:19" x14ac:dyDescent="0.15">
      <c r="A116">
        <v>5</v>
      </c>
      <c r="B116" t="s">
        <v>277</v>
      </c>
      <c r="C116">
        <v>13</v>
      </c>
      <c r="D116" s="47">
        <f t="shared" si="15"/>
        <v>44</v>
      </c>
      <c r="E116">
        <v>-13</v>
      </c>
      <c r="F116">
        <v>1</v>
      </c>
      <c r="G116">
        <v>2</v>
      </c>
      <c r="H116">
        <v>2</v>
      </c>
      <c r="I116">
        <v>8</v>
      </c>
      <c r="J116">
        <v>8</v>
      </c>
      <c r="K116">
        <v>12</v>
      </c>
      <c r="L116">
        <v>0</v>
      </c>
      <c r="M116">
        <v>7</v>
      </c>
      <c r="N116">
        <v>0.16</v>
      </c>
      <c r="O116">
        <v>0</v>
      </c>
      <c r="P116" s="13">
        <f t="shared" si="16"/>
        <v>2623.8752186666879</v>
      </c>
      <c r="Q116">
        <v>5</v>
      </c>
      <c r="R116" s="47">
        <f t="shared" si="17"/>
        <v>4.2389999999999999</v>
      </c>
      <c r="S116" t="s">
        <v>407</v>
      </c>
    </row>
    <row r="117" spans="1:19" x14ac:dyDescent="0.15">
      <c r="A117">
        <v>5</v>
      </c>
      <c r="B117" t="s">
        <v>497</v>
      </c>
      <c r="C117">
        <v>13</v>
      </c>
      <c r="D117" s="47">
        <f t="shared" si="15"/>
        <v>58.059417840691445</v>
      </c>
      <c r="E117">
        <v>-4</v>
      </c>
      <c r="F117">
        <v>0.9</v>
      </c>
      <c r="G117">
        <v>8</v>
      </c>
      <c r="H117">
        <v>8</v>
      </c>
      <c r="I117">
        <v>4</v>
      </c>
      <c r="J117">
        <v>9</v>
      </c>
      <c r="K117">
        <v>7</v>
      </c>
      <c r="L117">
        <v>2</v>
      </c>
      <c r="M117">
        <v>5</v>
      </c>
      <c r="N117">
        <v>0.15</v>
      </c>
      <c r="O117">
        <v>0</v>
      </c>
      <c r="P117" s="13">
        <f t="shared" si="16"/>
        <v>2338.310721290708</v>
      </c>
      <c r="Q117">
        <v>5</v>
      </c>
      <c r="R117" s="47">
        <f t="shared" si="17"/>
        <v>16.390799999999999</v>
      </c>
      <c r="S117" t="s">
        <v>585</v>
      </c>
    </row>
    <row r="118" spans="1:19" ht="12.75" customHeight="1" x14ac:dyDescent="0.15">
      <c r="A118">
        <v>5</v>
      </c>
      <c r="B118" t="s">
        <v>405</v>
      </c>
      <c r="C118">
        <v>15</v>
      </c>
      <c r="D118" s="47">
        <f t="shared" si="15"/>
        <v>83.065660775076026</v>
      </c>
      <c r="E118">
        <v>-7</v>
      </c>
      <c r="F118">
        <v>1.1000000000000001</v>
      </c>
      <c r="G118">
        <v>8</v>
      </c>
      <c r="H118">
        <v>7</v>
      </c>
      <c r="I118">
        <v>2</v>
      </c>
      <c r="J118">
        <v>8</v>
      </c>
      <c r="K118">
        <v>9</v>
      </c>
      <c r="L118">
        <v>7</v>
      </c>
      <c r="M118">
        <v>0</v>
      </c>
      <c r="N118">
        <v>0.02</v>
      </c>
      <c r="O118">
        <v>0</v>
      </c>
      <c r="P118" s="13">
        <f t="shared" si="16"/>
        <v>2391.7189502315582</v>
      </c>
      <c r="Q118">
        <v>6</v>
      </c>
      <c r="R118" s="47">
        <f t="shared" si="17"/>
        <v>19.529999999999998</v>
      </c>
      <c r="S118" t="s">
        <v>560</v>
      </c>
    </row>
    <row r="119" spans="1:19" x14ac:dyDescent="0.15">
      <c r="A119">
        <v>5</v>
      </c>
      <c r="B119" t="s">
        <v>355</v>
      </c>
      <c r="C119">
        <v>15</v>
      </c>
      <c r="D119" s="47">
        <f t="shared" si="15"/>
        <v>93.448868371960515</v>
      </c>
      <c r="E119">
        <v>-7</v>
      </c>
      <c r="F119">
        <v>1.1000000000000001</v>
      </c>
      <c r="G119">
        <v>9</v>
      </c>
      <c r="H119">
        <v>9</v>
      </c>
      <c r="I119">
        <v>8</v>
      </c>
      <c r="J119">
        <v>8</v>
      </c>
      <c r="K119">
        <v>7</v>
      </c>
      <c r="L119">
        <v>6</v>
      </c>
      <c r="M119">
        <v>10</v>
      </c>
      <c r="N119">
        <v>0.1</v>
      </c>
      <c r="O119">
        <v>0</v>
      </c>
      <c r="P119" s="13">
        <f t="shared" si="16"/>
        <v>4142.385754467251</v>
      </c>
      <c r="Q119">
        <v>7</v>
      </c>
      <c r="R119" s="47">
        <f t="shared" si="17"/>
        <v>21.971250000000001</v>
      </c>
      <c r="S119" t="s">
        <v>398</v>
      </c>
    </row>
    <row r="120" spans="1:19" x14ac:dyDescent="0.15">
      <c r="A120">
        <v>5</v>
      </c>
      <c r="B120" t="s">
        <v>273</v>
      </c>
      <c r="C120">
        <v>15</v>
      </c>
      <c r="D120" s="47">
        <f t="shared" si="15"/>
        <v>72</v>
      </c>
      <c r="E120">
        <v>-3</v>
      </c>
      <c r="F120">
        <v>1</v>
      </c>
      <c r="G120">
        <v>7</v>
      </c>
      <c r="H120">
        <v>7</v>
      </c>
      <c r="I120">
        <v>10</v>
      </c>
      <c r="J120">
        <v>8</v>
      </c>
      <c r="K120">
        <v>9</v>
      </c>
      <c r="L120">
        <v>3</v>
      </c>
      <c r="M120">
        <v>14</v>
      </c>
      <c r="N120">
        <v>0.2</v>
      </c>
      <c r="O120">
        <v>0</v>
      </c>
      <c r="P120" s="13">
        <f t="shared" si="16"/>
        <v>4998.2103523852365</v>
      </c>
      <c r="Q120">
        <v>7</v>
      </c>
      <c r="R120" s="47">
        <f t="shared" si="17"/>
        <v>16.537499999999998</v>
      </c>
      <c r="S120" t="s">
        <v>399</v>
      </c>
    </row>
    <row r="121" spans="1:19" x14ac:dyDescent="0.15">
      <c r="A121">
        <v>5</v>
      </c>
      <c r="B121" t="s">
        <v>274</v>
      </c>
      <c r="C121">
        <v>16</v>
      </c>
      <c r="D121" s="47">
        <f t="shared" si="15"/>
        <v>298.56249597027414</v>
      </c>
      <c r="E121">
        <v>-1</v>
      </c>
      <c r="F121">
        <v>1.9</v>
      </c>
      <c r="G121">
        <v>13</v>
      </c>
      <c r="H121">
        <v>15</v>
      </c>
      <c r="I121">
        <v>3</v>
      </c>
      <c r="J121">
        <v>4</v>
      </c>
      <c r="K121">
        <v>5</v>
      </c>
      <c r="L121">
        <v>12</v>
      </c>
      <c r="M121">
        <v>6</v>
      </c>
      <c r="N121">
        <v>7.4999999999999997E-2</v>
      </c>
      <c r="O121">
        <v>2</v>
      </c>
      <c r="P121" s="13">
        <f t="shared" si="16"/>
        <v>12708.427782711757</v>
      </c>
      <c r="Q121">
        <v>7</v>
      </c>
      <c r="R121" s="47">
        <f t="shared" si="17"/>
        <v>41.979599999999991</v>
      </c>
      <c r="S121" t="s">
        <v>235</v>
      </c>
    </row>
    <row r="122" spans="1:19" x14ac:dyDescent="0.15">
      <c r="A122">
        <v>5</v>
      </c>
      <c r="B122" t="s">
        <v>349</v>
      </c>
      <c r="C122">
        <v>17</v>
      </c>
      <c r="D122" s="47">
        <f t="shared" si="15"/>
        <v>265.64487572697504</v>
      </c>
      <c r="E122">
        <v>-1</v>
      </c>
      <c r="F122">
        <v>1.8</v>
      </c>
      <c r="G122">
        <v>15</v>
      </c>
      <c r="H122">
        <v>13</v>
      </c>
      <c r="I122">
        <v>6</v>
      </c>
      <c r="J122">
        <v>6</v>
      </c>
      <c r="K122">
        <v>5</v>
      </c>
      <c r="L122">
        <v>2</v>
      </c>
      <c r="M122">
        <v>0</v>
      </c>
      <c r="N122">
        <v>0</v>
      </c>
      <c r="O122">
        <v>2</v>
      </c>
      <c r="P122" s="13">
        <f t="shared" si="16"/>
        <v>8203.8894210684557</v>
      </c>
      <c r="Q122">
        <v>7</v>
      </c>
      <c r="R122" s="47">
        <f t="shared" si="17"/>
        <v>49.504500000000007</v>
      </c>
    </row>
    <row r="123" spans="1:19" x14ac:dyDescent="0.15">
      <c r="A123">
        <v>5</v>
      </c>
      <c r="B123" t="s">
        <v>190</v>
      </c>
      <c r="C123">
        <v>19</v>
      </c>
      <c r="D123" s="47">
        <f t="shared" si="15"/>
        <v>408.98704135950317</v>
      </c>
      <c r="E123">
        <v>-6</v>
      </c>
      <c r="F123">
        <v>2.4</v>
      </c>
      <c r="G123">
        <v>11</v>
      </c>
      <c r="H123">
        <v>11</v>
      </c>
      <c r="I123">
        <v>11</v>
      </c>
      <c r="J123">
        <v>6</v>
      </c>
      <c r="K123">
        <v>8</v>
      </c>
      <c r="L123">
        <v>10</v>
      </c>
      <c r="M123">
        <v>7</v>
      </c>
      <c r="N123">
        <v>0.22</v>
      </c>
      <c r="O123">
        <v>0</v>
      </c>
      <c r="P123" s="13">
        <f t="shared" si="16"/>
        <v>27090.619841013919</v>
      </c>
      <c r="Q123">
        <v>8</v>
      </c>
      <c r="R123" s="47">
        <f t="shared" si="17"/>
        <v>45.955800000000011</v>
      </c>
      <c r="S123" t="s">
        <v>220</v>
      </c>
    </row>
    <row r="124" spans="1:19" x14ac:dyDescent="0.15">
      <c r="A124" s="12" t="s">
        <v>197</v>
      </c>
      <c r="B124" s="51" t="s">
        <v>670</v>
      </c>
      <c r="C124" s="51" t="s">
        <v>181</v>
      </c>
      <c r="D124" s="51" t="s">
        <v>198</v>
      </c>
      <c r="E124" s="51" t="s">
        <v>199</v>
      </c>
      <c r="F124" s="51" t="s">
        <v>200</v>
      </c>
      <c r="G124" s="51" t="s">
        <v>0</v>
      </c>
      <c r="H124" s="51" t="s">
        <v>1</v>
      </c>
      <c r="I124" s="51" t="s">
        <v>82</v>
      </c>
      <c r="J124" s="51" t="s">
        <v>2</v>
      </c>
      <c r="K124" s="51" t="s">
        <v>3</v>
      </c>
      <c r="L124" s="51" t="s">
        <v>442</v>
      </c>
      <c r="M124" s="51" t="s">
        <v>443</v>
      </c>
      <c r="N124" s="51" t="s">
        <v>201</v>
      </c>
      <c r="O124" s="51" t="s">
        <v>391</v>
      </c>
      <c r="P124" s="51" t="s">
        <v>183</v>
      </c>
      <c r="Q124" s="51" t="s">
        <v>182</v>
      </c>
      <c r="R124" s="51" t="s">
        <v>668</v>
      </c>
      <c r="S124" s="52" t="s">
        <v>669</v>
      </c>
    </row>
    <row r="125" spans="1:19" x14ac:dyDescent="0.15">
      <c r="A125">
        <v>6</v>
      </c>
      <c r="B125" t="s">
        <v>418</v>
      </c>
      <c r="C125">
        <v>11</v>
      </c>
      <c r="D125" s="47">
        <f t="shared" ref="D125:D146" si="18">(C125+3)*(H125+9)*0.25*F125^1.5</f>
        <v>104.35964737387722</v>
      </c>
      <c r="E125">
        <v>-4</v>
      </c>
      <c r="F125">
        <v>1.4</v>
      </c>
      <c r="G125">
        <v>8</v>
      </c>
      <c r="H125">
        <v>9</v>
      </c>
      <c r="I125">
        <v>6</v>
      </c>
      <c r="J125">
        <v>9</v>
      </c>
      <c r="K125">
        <v>6</v>
      </c>
      <c r="L125">
        <v>0</v>
      </c>
      <c r="M125">
        <v>0</v>
      </c>
      <c r="N125">
        <v>0.1</v>
      </c>
      <c r="O125">
        <v>0</v>
      </c>
      <c r="P125" s="13">
        <f t="shared" ref="P125:P146" si="19">(((C125+1.8)^1.4*(F125^1.25)*(-0.25*(E125-10)+G125+H125+I125+J125+K125+L125+M125))^(1+N125*0.4)+N125*200+D125*2)*(1+O125*0.25)*0.8</f>
        <v>2625.9793891357708</v>
      </c>
      <c r="Q125">
        <v>11</v>
      </c>
      <c r="R125" s="47">
        <f t="shared" ref="R125:R146" si="20">(G125)*(F125+2)*(C125*0.9+4)*0.045</f>
        <v>17.0136</v>
      </c>
      <c r="S125" t="s">
        <v>205</v>
      </c>
    </row>
    <row r="126" spans="1:19" x14ac:dyDescent="0.15">
      <c r="A126">
        <v>6</v>
      </c>
      <c r="B126" t="s">
        <v>420</v>
      </c>
      <c r="C126">
        <v>14</v>
      </c>
      <c r="D126" s="47">
        <f t="shared" si="18"/>
        <v>100.7915075787638</v>
      </c>
      <c r="E126">
        <v>-1</v>
      </c>
      <c r="F126">
        <v>1.3</v>
      </c>
      <c r="G126">
        <v>6</v>
      </c>
      <c r="H126">
        <v>7</v>
      </c>
      <c r="I126">
        <v>9</v>
      </c>
      <c r="J126">
        <v>6</v>
      </c>
      <c r="K126">
        <v>8</v>
      </c>
      <c r="L126">
        <v>0</v>
      </c>
      <c r="M126">
        <v>2</v>
      </c>
      <c r="N126">
        <v>0.15</v>
      </c>
      <c r="O126">
        <v>0</v>
      </c>
      <c r="P126" s="13">
        <f t="shared" si="19"/>
        <v>3649.501177092412</v>
      </c>
      <c r="Q126" s="1" t="s">
        <v>691</v>
      </c>
      <c r="R126" s="47">
        <f t="shared" si="20"/>
        <v>14.7906</v>
      </c>
      <c r="S126" t="s">
        <v>233</v>
      </c>
    </row>
    <row r="127" spans="1:19" x14ac:dyDescent="0.15">
      <c r="A127">
        <v>6</v>
      </c>
      <c r="B127" t="s">
        <v>409</v>
      </c>
      <c r="C127">
        <v>11</v>
      </c>
      <c r="D127" s="47">
        <f t="shared" si="18"/>
        <v>26.647621845110301</v>
      </c>
      <c r="E127">
        <v>-12</v>
      </c>
      <c r="F127">
        <v>0.7</v>
      </c>
      <c r="G127">
        <v>4</v>
      </c>
      <c r="H127">
        <v>4</v>
      </c>
      <c r="I127">
        <v>4</v>
      </c>
      <c r="J127">
        <v>9</v>
      </c>
      <c r="K127">
        <v>10</v>
      </c>
      <c r="L127">
        <v>0</v>
      </c>
      <c r="M127">
        <v>5</v>
      </c>
      <c r="N127">
        <v>0.13</v>
      </c>
      <c r="O127">
        <v>0</v>
      </c>
      <c r="P127" s="13">
        <f t="shared" si="19"/>
        <v>1140.5940445757483</v>
      </c>
      <c r="Q127">
        <v>7</v>
      </c>
      <c r="R127" s="47">
        <f t="shared" si="20"/>
        <v>6.7553999999999998</v>
      </c>
      <c r="S127" t="s">
        <v>410</v>
      </c>
    </row>
    <row r="128" spans="1:19" x14ac:dyDescent="0.15">
      <c r="A128">
        <v>6</v>
      </c>
      <c r="B128" t="s">
        <v>279</v>
      </c>
      <c r="C128">
        <v>13</v>
      </c>
      <c r="D128" s="47">
        <f t="shared" si="18"/>
        <v>92</v>
      </c>
      <c r="E128">
        <v>10</v>
      </c>
      <c r="F128">
        <v>1</v>
      </c>
      <c r="G128">
        <v>12</v>
      </c>
      <c r="H128">
        <v>14</v>
      </c>
      <c r="I128">
        <v>2</v>
      </c>
      <c r="J128">
        <v>2</v>
      </c>
      <c r="K128">
        <v>4</v>
      </c>
      <c r="L128">
        <v>0</v>
      </c>
      <c r="M128">
        <v>0</v>
      </c>
      <c r="N128">
        <v>0.14000000000000001</v>
      </c>
      <c r="O128">
        <v>0</v>
      </c>
      <c r="P128" s="13">
        <f t="shared" si="19"/>
        <v>1949.7091946808914</v>
      </c>
      <c r="Q128">
        <v>7</v>
      </c>
      <c r="R128" s="47">
        <f t="shared" si="20"/>
        <v>25.434000000000001</v>
      </c>
      <c r="S128" t="s">
        <v>385</v>
      </c>
    </row>
    <row r="129" spans="1:19" x14ac:dyDescent="0.15">
      <c r="A129">
        <v>6</v>
      </c>
      <c r="B129" t="s">
        <v>498</v>
      </c>
      <c r="C129">
        <v>15</v>
      </c>
      <c r="D129" s="47">
        <f t="shared" si="18"/>
        <v>85.5</v>
      </c>
      <c r="E129">
        <v>-8</v>
      </c>
      <c r="F129">
        <v>1</v>
      </c>
      <c r="G129">
        <v>8</v>
      </c>
      <c r="H129">
        <v>10</v>
      </c>
      <c r="I129">
        <v>8</v>
      </c>
      <c r="J129">
        <v>8</v>
      </c>
      <c r="K129">
        <v>8</v>
      </c>
      <c r="L129">
        <v>0</v>
      </c>
      <c r="M129">
        <v>4</v>
      </c>
      <c r="N129">
        <v>8.5000000000000006E-2</v>
      </c>
      <c r="O129">
        <v>0</v>
      </c>
      <c r="P129" s="13">
        <f t="shared" si="19"/>
        <v>2892.2960643880015</v>
      </c>
      <c r="Q129">
        <v>7</v>
      </c>
      <c r="R129" s="47">
        <f t="shared" si="20"/>
        <v>18.899999999999999</v>
      </c>
      <c r="S129" t="s">
        <v>412</v>
      </c>
    </row>
    <row r="130" spans="1:19" x14ac:dyDescent="0.15">
      <c r="A130">
        <v>6</v>
      </c>
      <c r="B130" t="s">
        <v>278</v>
      </c>
      <c r="C130">
        <v>14</v>
      </c>
      <c r="D130" s="47">
        <f t="shared" si="18"/>
        <v>117.32217181760659</v>
      </c>
      <c r="E130">
        <v>-1</v>
      </c>
      <c r="F130">
        <v>1.2</v>
      </c>
      <c r="G130">
        <v>10</v>
      </c>
      <c r="H130">
        <v>12</v>
      </c>
      <c r="I130">
        <v>5</v>
      </c>
      <c r="J130">
        <v>5</v>
      </c>
      <c r="K130">
        <v>7</v>
      </c>
      <c r="L130">
        <v>2</v>
      </c>
      <c r="M130">
        <v>0</v>
      </c>
      <c r="N130">
        <v>0.05</v>
      </c>
      <c r="O130">
        <v>0</v>
      </c>
      <c r="P130" s="13">
        <f t="shared" si="19"/>
        <v>2647.7468017835063</v>
      </c>
      <c r="Q130">
        <v>7</v>
      </c>
      <c r="R130" s="47">
        <f t="shared" si="20"/>
        <v>23.904</v>
      </c>
      <c r="S130" t="s">
        <v>235</v>
      </c>
    </row>
    <row r="131" spans="1:19" x14ac:dyDescent="0.15">
      <c r="A131">
        <v>6</v>
      </c>
      <c r="B131" t="s">
        <v>281</v>
      </c>
      <c r="C131">
        <v>18</v>
      </c>
      <c r="D131" s="47">
        <f t="shared" si="18"/>
        <v>171.19734007863556</v>
      </c>
      <c r="E131">
        <v>-2</v>
      </c>
      <c r="F131">
        <v>1.3</v>
      </c>
      <c r="G131">
        <v>11</v>
      </c>
      <c r="H131">
        <v>13</v>
      </c>
      <c r="I131">
        <v>4</v>
      </c>
      <c r="J131">
        <v>5</v>
      </c>
      <c r="K131">
        <v>6</v>
      </c>
      <c r="L131">
        <v>4</v>
      </c>
      <c r="M131">
        <v>0</v>
      </c>
      <c r="N131">
        <v>0.05</v>
      </c>
      <c r="O131">
        <v>0</v>
      </c>
      <c r="P131" s="13">
        <f t="shared" si="19"/>
        <v>4226.6580811456906</v>
      </c>
      <c r="Q131">
        <v>8</v>
      </c>
      <c r="R131" s="47">
        <f t="shared" si="20"/>
        <v>32.99669999999999</v>
      </c>
      <c r="S131" t="s">
        <v>411</v>
      </c>
    </row>
    <row r="132" spans="1:19" ht="12.75" customHeight="1" x14ac:dyDescent="0.15">
      <c r="A132">
        <v>6</v>
      </c>
      <c r="B132" t="s">
        <v>269</v>
      </c>
      <c r="C132">
        <v>13</v>
      </c>
      <c r="D132" s="47">
        <f t="shared" si="18"/>
        <v>110.42086759304149</v>
      </c>
      <c r="E132">
        <v>-3</v>
      </c>
      <c r="F132">
        <v>1.2</v>
      </c>
      <c r="G132">
        <v>13</v>
      </c>
      <c r="H132">
        <v>12</v>
      </c>
      <c r="I132">
        <v>4</v>
      </c>
      <c r="J132">
        <v>5</v>
      </c>
      <c r="K132">
        <v>5</v>
      </c>
      <c r="L132">
        <v>0</v>
      </c>
      <c r="M132">
        <v>0</v>
      </c>
      <c r="N132">
        <v>0</v>
      </c>
      <c r="O132">
        <v>0</v>
      </c>
      <c r="P132" s="13">
        <f t="shared" si="19"/>
        <v>2022.7922494482937</v>
      </c>
      <c r="Q132">
        <v>7</v>
      </c>
      <c r="R132" s="47">
        <f t="shared" si="20"/>
        <v>29.390400000000003</v>
      </c>
    </row>
    <row r="133" spans="1:19" ht="12.75" customHeight="1" x14ac:dyDescent="0.15">
      <c r="A133">
        <v>6</v>
      </c>
      <c r="B133" t="s">
        <v>505</v>
      </c>
      <c r="C133">
        <v>17</v>
      </c>
      <c r="D133" s="47">
        <f t="shared" si="18"/>
        <v>155.63394552603233</v>
      </c>
      <c r="E133">
        <v>-5</v>
      </c>
      <c r="F133">
        <v>1.3</v>
      </c>
      <c r="G133">
        <v>13</v>
      </c>
      <c r="H133">
        <v>12</v>
      </c>
      <c r="I133">
        <v>4</v>
      </c>
      <c r="J133">
        <v>6</v>
      </c>
      <c r="K133">
        <v>7</v>
      </c>
      <c r="L133">
        <v>1</v>
      </c>
      <c r="M133">
        <v>0</v>
      </c>
      <c r="N133">
        <v>0</v>
      </c>
      <c r="O133">
        <v>0</v>
      </c>
      <c r="P133" s="13">
        <f t="shared" si="19"/>
        <v>3404.9037626522149</v>
      </c>
      <c r="Q133">
        <v>8</v>
      </c>
      <c r="R133" s="47">
        <f t="shared" si="20"/>
        <v>37.258650000000003</v>
      </c>
    </row>
    <row r="134" spans="1:19" ht="12.75" customHeight="1" x14ac:dyDescent="0.15">
      <c r="A134">
        <v>6</v>
      </c>
      <c r="B134" t="s">
        <v>282</v>
      </c>
      <c r="C134">
        <v>15</v>
      </c>
      <c r="D134" s="47">
        <f t="shared" si="18"/>
        <v>81</v>
      </c>
      <c r="E134">
        <v>-7</v>
      </c>
      <c r="F134">
        <v>1</v>
      </c>
      <c r="G134">
        <v>10</v>
      </c>
      <c r="H134">
        <v>9</v>
      </c>
      <c r="I134">
        <v>6</v>
      </c>
      <c r="J134">
        <v>6</v>
      </c>
      <c r="K134">
        <v>7</v>
      </c>
      <c r="L134">
        <v>6</v>
      </c>
      <c r="M134">
        <v>0</v>
      </c>
      <c r="N134">
        <v>0</v>
      </c>
      <c r="O134">
        <v>0</v>
      </c>
      <c r="P134" s="13">
        <f t="shared" si="19"/>
        <v>2134.1657193336791</v>
      </c>
      <c r="Q134">
        <v>7</v>
      </c>
      <c r="R134" s="47">
        <f t="shared" si="20"/>
        <v>23.625</v>
      </c>
    </row>
    <row r="135" spans="1:19" x14ac:dyDescent="0.15">
      <c r="A135">
        <v>6</v>
      </c>
      <c r="B135" t="s">
        <v>283</v>
      </c>
      <c r="C135">
        <v>15</v>
      </c>
      <c r="D135" s="47">
        <f t="shared" si="18"/>
        <v>57.632510356568716</v>
      </c>
      <c r="E135">
        <v>-10</v>
      </c>
      <c r="F135">
        <v>0.9</v>
      </c>
      <c r="G135">
        <v>7</v>
      </c>
      <c r="H135">
        <v>6</v>
      </c>
      <c r="I135">
        <v>7</v>
      </c>
      <c r="J135">
        <v>9</v>
      </c>
      <c r="K135">
        <v>9</v>
      </c>
      <c r="L135">
        <v>1</v>
      </c>
      <c r="M135">
        <v>0</v>
      </c>
      <c r="N135">
        <v>0.14000000000000001</v>
      </c>
      <c r="O135">
        <v>0</v>
      </c>
      <c r="P135" s="13">
        <f t="shared" si="19"/>
        <v>2567.4754443089396</v>
      </c>
      <c r="Q135" s="1" t="s">
        <v>691</v>
      </c>
      <c r="R135" s="47">
        <f t="shared" si="20"/>
        <v>15.98625</v>
      </c>
      <c r="S135" t="s">
        <v>214</v>
      </c>
    </row>
    <row r="136" spans="1:19" x14ac:dyDescent="0.15">
      <c r="A136">
        <v>6</v>
      </c>
      <c r="B136" t="s">
        <v>344</v>
      </c>
      <c r="C136">
        <v>15</v>
      </c>
      <c r="D136" s="47">
        <f t="shared" si="18"/>
        <v>57.632510356568716</v>
      </c>
      <c r="E136">
        <v>-6</v>
      </c>
      <c r="F136">
        <v>0.9</v>
      </c>
      <c r="G136">
        <v>6</v>
      </c>
      <c r="H136">
        <v>6</v>
      </c>
      <c r="I136">
        <v>9</v>
      </c>
      <c r="J136">
        <v>7</v>
      </c>
      <c r="K136">
        <v>8</v>
      </c>
      <c r="L136">
        <v>0</v>
      </c>
      <c r="M136">
        <v>6</v>
      </c>
      <c r="N136">
        <v>0.17499999999999999</v>
      </c>
      <c r="O136">
        <v>0</v>
      </c>
      <c r="P136" s="13">
        <f t="shared" si="19"/>
        <v>2981.4470059516225</v>
      </c>
      <c r="Q136" s="1" t="s">
        <v>691</v>
      </c>
      <c r="R136" s="47">
        <f t="shared" si="20"/>
        <v>13.702499999999999</v>
      </c>
      <c r="S136" t="s">
        <v>399</v>
      </c>
    </row>
    <row r="137" spans="1:19" x14ac:dyDescent="0.15">
      <c r="A137">
        <v>6</v>
      </c>
      <c r="B137" t="s">
        <v>284</v>
      </c>
      <c r="C137">
        <v>15</v>
      </c>
      <c r="D137" s="47">
        <f t="shared" si="18"/>
        <v>53.79034299946413</v>
      </c>
      <c r="E137">
        <v>-2</v>
      </c>
      <c r="F137">
        <v>0.9</v>
      </c>
      <c r="G137">
        <v>6</v>
      </c>
      <c r="H137">
        <v>5</v>
      </c>
      <c r="I137">
        <v>10</v>
      </c>
      <c r="J137">
        <v>7</v>
      </c>
      <c r="K137">
        <v>8</v>
      </c>
      <c r="L137">
        <v>0</v>
      </c>
      <c r="M137">
        <v>8</v>
      </c>
      <c r="N137">
        <v>0.17499999999999999</v>
      </c>
      <c r="O137">
        <v>0</v>
      </c>
      <c r="P137" s="13">
        <f t="shared" si="19"/>
        <v>3041.9046538641992</v>
      </c>
      <c r="Q137" s="1" t="s">
        <v>691</v>
      </c>
      <c r="R137" s="47">
        <f t="shared" si="20"/>
        <v>13.702499999999999</v>
      </c>
      <c r="S137" t="s">
        <v>399</v>
      </c>
    </row>
    <row r="138" spans="1:19" x14ac:dyDescent="0.15">
      <c r="A138">
        <v>6</v>
      </c>
      <c r="B138" t="s">
        <v>406</v>
      </c>
      <c r="C138">
        <v>16</v>
      </c>
      <c r="D138" s="47">
        <f t="shared" si="18"/>
        <v>52.25</v>
      </c>
      <c r="E138">
        <v>-15</v>
      </c>
      <c r="F138">
        <v>1</v>
      </c>
      <c r="G138">
        <v>2</v>
      </c>
      <c r="H138">
        <v>2</v>
      </c>
      <c r="I138">
        <v>8</v>
      </c>
      <c r="J138">
        <v>8</v>
      </c>
      <c r="K138">
        <v>12</v>
      </c>
      <c r="L138">
        <v>0</v>
      </c>
      <c r="M138">
        <v>7</v>
      </c>
      <c r="N138">
        <v>0.23499999999999999</v>
      </c>
      <c r="O138">
        <v>0</v>
      </c>
      <c r="P138" s="13">
        <f t="shared" si="19"/>
        <v>4381.89054981967</v>
      </c>
      <c r="Q138">
        <v>7</v>
      </c>
      <c r="R138" s="47">
        <f t="shared" si="20"/>
        <v>4.9679999999999991</v>
      </c>
      <c r="S138" t="s">
        <v>408</v>
      </c>
    </row>
    <row r="139" spans="1:19" ht="12.75" customHeight="1" x14ac:dyDescent="0.15">
      <c r="A139">
        <v>6</v>
      </c>
      <c r="B139" t="s">
        <v>355</v>
      </c>
      <c r="C139">
        <v>18</v>
      </c>
      <c r="D139" s="47">
        <f t="shared" si="18"/>
        <v>109.02367976728728</v>
      </c>
      <c r="E139">
        <v>-9</v>
      </c>
      <c r="F139">
        <v>1.1000000000000001</v>
      </c>
      <c r="G139">
        <v>9</v>
      </c>
      <c r="H139">
        <v>9</v>
      </c>
      <c r="I139">
        <v>8</v>
      </c>
      <c r="J139">
        <v>8</v>
      </c>
      <c r="K139">
        <v>7</v>
      </c>
      <c r="L139">
        <v>6</v>
      </c>
      <c r="M139">
        <v>11</v>
      </c>
      <c r="N139">
        <v>0.1</v>
      </c>
      <c r="O139">
        <v>0</v>
      </c>
      <c r="P139" s="13">
        <f t="shared" si="19"/>
        <v>5370.8376415911089</v>
      </c>
      <c r="Q139">
        <v>9</v>
      </c>
      <c r="R139" s="47">
        <f t="shared" si="20"/>
        <v>25.3611</v>
      </c>
      <c r="S139" t="s">
        <v>398</v>
      </c>
    </row>
    <row r="140" spans="1:19" ht="12.75" customHeight="1" x14ac:dyDescent="0.15">
      <c r="A140">
        <v>6</v>
      </c>
      <c r="B140" t="s">
        <v>280</v>
      </c>
      <c r="C140">
        <v>18</v>
      </c>
      <c r="D140" s="47">
        <f t="shared" si="18"/>
        <v>84</v>
      </c>
      <c r="E140">
        <v>-5</v>
      </c>
      <c r="F140">
        <v>1</v>
      </c>
      <c r="G140">
        <v>7</v>
      </c>
      <c r="H140">
        <v>7</v>
      </c>
      <c r="I140">
        <v>10</v>
      </c>
      <c r="J140">
        <v>8</v>
      </c>
      <c r="K140">
        <v>9</v>
      </c>
      <c r="L140">
        <v>3</v>
      </c>
      <c r="M140">
        <v>15</v>
      </c>
      <c r="N140">
        <v>0.17499999999999999</v>
      </c>
      <c r="O140">
        <v>0</v>
      </c>
      <c r="P140" s="13">
        <f t="shared" si="19"/>
        <v>6036.4972629394624</v>
      </c>
      <c r="Q140">
        <v>9</v>
      </c>
      <c r="R140" s="47">
        <f t="shared" si="20"/>
        <v>19.088999999999999</v>
      </c>
      <c r="S140" t="s">
        <v>399</v>
      </c>
    </row>
    <row r="141" spans="1:19" x14ac:dyDescent="0.15">
      <c r="A141">
        <v>6</v>
      </c>
      <c r="B141" t="s">
        <v>285</v>
      </c>
      <c r="C141">
        <v>19</v>
      </c>
      <c r="D141" s="47">
        <f t="shared" si="18"/>
        <v>211.49312991206125</v>
      </c>
      <c r="E141">
        <v>-2</v>
      </c>
      <c r="F141">
        <v>1.6</v>
      </c>
      <c r="G141">
        <v>7</v>
      </c>
      <c r="H141">
        <v>10</v>
      </c>
      <c r="I141">
        <v>5</v>
      </c>
      <c r="J141">
        <v>7</v>
      </c>
      <c r="K141">
        <v>7</v>
      </c>
      <c r="L141">
        <v>3</v>
      </c>
      <c r="M141">
        <v>0</v>
      </c>
      <c r="N141">
        <v>0.16</v>
      </c>
      <c r="O141">
        <v>0</v>
      </c>
      <c r="P141" s="13">
        <f t="shared" si="19"/>
        <v>7693.8198594660389</v>
      </c>
      <c r="Q141">
        <v>8</v>
      </c>
      <c r="R141" s="47">
        <f t="shared" si="20"/>
        <v>23.927399999999999</v>
      </c>
      <c r="S141" t="s">
        <v>286</v>
      </c>
    </row>
    <row r="142" spans="1:19" ht="12.75" customHeight="1" x14ac:dyDescent="0.15">
      <c r="A142">
        <v>6</v>
      </c>
      <c r="B142" t="s">
        <v>287</v>
      </c>
      <c r="C142">
        <v>20</v>
      </c>
      <c r="D142" s="47">
        <f t="shared" si="18"/>
        <v>390.3229432149742</v>
      </c>
      <c r="E142">
        <v>-2</v>
      </c>
      <c r="F142">
        <v>2</v>
      </c>
      <c r="G142">
        <v>13</v>
      </c>
      <c r="H142">
        <v>15</v>
      </c>
      <c r="I142">
        <v>3</v>
      </c>
      <c r="J142">
        <v>4</v>
      </c>
      <c r="K142">
        <v>5</v>
      </c>
      <c r="L142">
        <v>13</v>
      </c>
      <c r="M142">
        <v>7</v>
      </c>
      <c r="N142">
        <v>7.4999999999999997E-2</v>
      </c>
      <c r="O142">
        <v>2</v>
      </c>
      <c r="P142" s="13">
        <f t="shared" si="19"/>
        <v>18742.991096054735</v>
      </c>
      <c r="Q142">
        <v>9</v>
      </c>
      <c r="R142" s="47">
        <f t="shared" si="20"/>
        <v>51.48</v>
      </c>
      <c r="S142" t="s">
        <v>235</v>
      </c>
    </row>
    <row r="143" spans="1:19" ht="12.75" customHeight="1" x14ac:dyDescent="0.15">
      <c r="A143">
        <v>6</v>
      </c>
      <c r="B143" t="s">
        <v>352</v>
      </c>
      <c r="C143">
        <v>21</v>
      </c>
      <c r="D143" s="47">
        <f t="shared" si="18"/>
        <v>345.70394270242269</v>
      </c>
      <c r="E143">
        <v>-4</v>
      </c>
      <c r="F143">
        <v>1.9</v>
      </c>
      <c r="G143">
        <v>15</v>
      </c>
      <c r="H143">
        <v>13</v>
      </c>
      <c r="I143">
        <v>6</v>
      </c>
      <c r="J143">
        <v>6</v>
      </c>
      <c r="K143">
        <v>5</v>
      </c>
      <c r="L143">
        <v>2</v>
      </c>
      <c r="M143">
        <v>0</v>
      </c>
      <c r="N143">
        <v>0</v>
      </c>
      <c r="O143">
        <v>2</v>
      </c>
      <c r="P143" s="13">
        <f t="shared" si="19"/>
        <v>11594.921895736285</v>
      </c>
      <c r="Q143">
        <v>8</v>
      </c>
      <c r="R143" s="47">
        <f t="shared" si="20"/>
        <v>60.28425</v>
      </c>
    </row>
    <row r="144" spans="1:19" ht="12.75" customHeight="1" x14ac:dyDescent="0.15">
      <c r="A144">
        <v>6</v>
      </c>
      <c r="B144" t="s">
        <v>506</v>
      </c>
      <c r="C144">
        <v>23</v>
      </c>
      <c r="D144" s="47">
        <f t="shared" si="18"/>
        <v>545.00862378498198</v>
      </c>
      <c r="E144">
        <v>-8</v>
      </c>
      <c r="F144">
        <v>2.6</v>
      </c>
      <c r="G144">
        <v>11</v>
      </c>
      <c r="H144">
        <v>11</v>
      </c>
      <c r="I144">
        <v>11</v>
      </c>
      <c r="J144">
        <v>6</v>
      </c>
      <c r="K144">
        <v>8</v>
      </c>
      <c r="L144">
        <v>11</v>
      </c>
      <c r="M144">
        <v>8</v>
      </c>
      <c r="N144">
        <v>0.22</v>
      </c>
      <c r="O144">
        <v>0</v>
      </c>
      <c r="P144" s="13">
        <f t="shared" si="19"/>
        <v>40930.459014460583</v>
      </c>
      <c r="Q144">
        <v>11</v>
      </c>
      <c r="R144" s="47">
        <f t="shared" si="20"/>
        <v>56.241899999999994</v>
      </c>
      <c r="S144" t="s">
        <v>220</v>
      </c>
    </row>
    <row r="145" spans="1:19" ht="12.75" customHeight="1" x14ac:dyDescent="0.15">
      <c r="A145">
        <v>6</v>
      </c>
      <c r="B145" t="s">
        <v>390</v>
      </c>
      <c r="C145">
        <v>17</v>
      </c>
      <c r="D145" s="47">
        <f t="shared" si="18"/>
        <v>138.02608449130187</v>
      </c>
      <c r="E145">
        <v>-15</v>
      </c>
      <c r="F145">
        <v>1.2</v>
      </c>
      <c r="G145">
        <v>2</v>
      </c>
      <c r="H145">
        <v>12</v>
      </c>
      <c r="I145">
        <v>4</v>
      </c>
      <c r="J145">
        <v>5</v>
      </c>
      <c r="K145">
        <v>6</v>
      </c>
      <c r="L145">
        <v>2</v>
      </c>
      <c r="M145">
        <v>7</v>
      </c>
      <c r="N145">
        <v>0</v>
      </c>
      <c r="O145">
        <v>0</v>
      </c>
      <c r="P145" s="13">
        <f t="shared" si="19"/>
        <v>2923.5601989521288</v>
      </c>
      <c r="Q145">
        <v>10</v>
      </c>
      <c r="R145" s="47">
        <f t="shared" si="20"/>
        <v>5.5584000000000007</v>
      </c>
    </row>
    <row r="146" spans="1:19" ht="12.75" customHeight="1" x14ac:dyDescent="0.15">
      <c r="A146">
        <v>6</v>
      </c>
      <c r="B146" t="s">
        <v>502</v>
      </c>
      <c r="C146">
        <v>17</v>
      </c>
      <c r="D146" s="47">
        <f t="shared" si="18"/>
        <v>138.02608449130187</v>
      </c>
      <c r="E146">
        <v>5</v>
      </c>
      <c r="F146">
        <v>1.2</v>
      </c>
      <c r="G146">
        <v>15</v>
      </c>
      <c r="H146">
        <v>12</v>
      </c>
      <c r="I146">
        <v>12</v>
      </c>
      <c r="J146">
        <v>2</v>
      </c>
      <c r="K146">
        <v>15</v>
      </c>
      <c r="L146">
        <v>0</v>
      </c>
      <c r="M146">
        <v>10</v>
      </c>
      <c r="N146">
        <v>0.1</v>
      </c>
      <c r="O146">
        <v>0</v>
      </c>
      <c r="P146" s="13">
        <f t="shared" si="19"/>
        <v>6017.7944302529986</v>
      </c>
      <c r="Q146">
        <v>10</v>
      </c>
      <c r="R146" s="47">
        <f t="shared" si="20"/>
        <v>41.688000000000002</v>
      </c>
      <c r="S146" t="s">
        <v>362</v>
      </c>
    </row>
    <row r="147" spans="1:19" ht="12.75" customHeight="1" x14ac:dyDescent="0.15">
      <c r="A147" s="12" t="s">
        <v>197</v>
      </c>
      <c r="B147" s="51" t="s">
        <v>670</v>
      </c>
      <c r="C147" s="51" t="s">
        <v>181</v>
      </c>
      <c r="D147" s="51" t="s">
        <v>198</v>
      </c>
      <c r="E147" s="51" t="s">
        <v>199</v>
      </c>
      <c r="F147" s="51" t="s">
        <v>200</v>
      </c>
      <c r="G147" s="51" t="s">
        <v>0</v>
      </c>
      <c r="H147" s="51" t="s">
        <v>1</v>
      </c>
      <c r="I147" s="51" t="s">
        <v>82</v>
      </c>
      <c r="J147" s="51" t="s">
        <v>2</v>
      </c>
      <c r="K147" s="51" t="s">
        <v>3</v>
      </c>
      <c r="L147" s="51" t="s">
        <v>442</v>
      </c>
      <c r="M147" s="51" t="s">
        <v>443</v>
      </c>
      <c r="N147" s="51" t="s">
        <v>201</v>
      </c>
      <c r="O147" s="51" t="s">
        <v>391</v>
      </c>
      <c r="P147" s="51" t="s">
        <v>183</v>
      </c>
      <c r="Q147" s="51" t="s">
        <v>182</v>
      </c>
      <c r="R147" s="51" t="s">
        <v>668</v>
      </c>
      <c r="S147" s="52" t="s">
        <v>669</v>
      </c>
    </row>
    <row r="148" spans="1:19" ht="12.75" customHeight="1" x14ac:dyDescent="0.15">
      <c r="A148">
        <v>7</v>
      </c>
      <c r="B148" t="s">
        <v>332</v>
      </c>
      <c r="C148">
        <v>13</v>
      </c>
      <c r="D148" s="47">
        <f t="shared" ref="D148:D167" si="21">(C148+3)*(H148+9)*0.25*F148^1.5</f>
        <v>92</v>
      </c>
      <c r="E148">
        <v>10</v>
      </c>
      <c r="F148">
        <v>1</v>
      </c>
      <c r="G148">
        <v>1</v>
      </c>
      <c r="H148">
        <v>14</v>
      </c>
      <c r="I148">
        <v>2</v>
      </c>
      <c r="J148">
        <v>2</v>
      </c>
      <c r="K148">
        <v>1</v>
      </c>
      <c r="L148">
        <v>0</v>
      </c>
      <c r="M148">
        <v>0</v>
      </c>
      <c r="N148">
        <v>0.22</v>
      </c>
      <c r="O148">
        <v>0</v>
      </c>
      <c r="P148" s="13">
        <f t="shared" ref="P148:P167" si="22">(((C148+1.8)^1.4*(F148^1.25)*(-0.25*(E148-10)+G148+H148+I148+J148+K148+L148+M148))^(1+N148*0.4)+N148*200+D148*2)*(1+O148*0.25)*0.8</f>
        <v>1444.6729255997373</v>
      </c>
      <c r="Q148">
        <v>12</v>
      </c>
      <c r="R148" s="47">
        <f t="shared" ref="R148:R167" si="23">(G148)*(F148+2)*(C148*0.9+4)*0.045</f>
        <v>2.1194999999999999</v>
      </c>
      <c r="S148" t="s">
        <v>413</v>
      </c>
    </row>
    <row r="149" spans="1:19" ht="12.75" customHeight="1" x14ac:dyDescent="0.15">
      <c r="A149">
        <v>7</v>
      </c>
      <c r="B149" t="s">
        <v>416</v>
      </c>
      <c r="C149">
        <v>16</v>
      </c>
      <c r="D149" s="47">
        <f t="shared" si="21"/>
        <v>64.889937586655151</v>
      </c>
      <c r="E149">
        <v>-11</v>
      </c>
      <c r="F149">
        <v>0.9</v>
      </c>
      <c r="G149">
        <v>9</v>
      </c>
      <c r="H149">
        <v>7</v>
      </c>
      <c r="I149">
        <v>9</v>
      </c>
      <c r="J149">
        <v>10</v>
      </c>
      <c r="K149">
        <v>8</v>
      </c>
      <c r="L149">
        <v>2</v>
      </c>
      <c r="M149">
        <v>8</v>
      </c>
      <c r="N149">
        <v>0.17499999999999999</v>
      </c>
      <c r="O149">
        <v>0</v>
      </c>
      <c r="P149" s="13">
        <f t="shared" si="22"/>
        <v>4148.6696205099097</v>
      </c>
      <c r="Q149">
        <v>9</v>
      </c>
      <c r="R149" s="47">
        <f t="shared" si="23"/>
        <v>21.610799999999994</v>
      </c>
      <c r="S149" t="s">
        <v>417</v>
      </c>
    </row>
    <row r="150" spans="1:19" x14ac:dyDescent="0.15">
      <c r="A150">
        <v>7</v>
      </c>
      <c r="B150" t="s">
        <v>288</v>
      </c>
      <c r="C150">
        <v>17</v>
      </c>
      <c r="D150" s="47">
        <f t="shared" si="21"/>
        <v>148.22280526288793</v>
      </c>
      <c r="E150">
        <v>-3</v>
      </c>
      <c r="F150">
        <v>1.3</v>
      </c>
      <c r="G150">
        <v>14</v>
      </c>
      <c r="H150">
        <v>11</v>
      </c>
      <c r="I150">
        <v>4</v>
      </c>
      <c r="J150">
        <v>6</v>
      </c>
      <c r="K150">
        <v>4</v>
      </c>
      <c r="L150">
        <v>0</v>
      </c>
      <c r="M150">
        <v>0</v>
      </c>
      <c r="N150">
        <v>0</v>
      </c>
      <c r="O150">
        <v>0</v>
      </c>
      <c r="P150" s="13">
        <f t="shared" si="22"/>
        <v>3089.2704831692045</v>
      </c>
      <c r="Q150">
        <v>9</v>
      </c>
      <c r="R150" s="47">
        <f t="shared" si="23"/>
        <v>40.124699999999997</v>
      </c>
    </row>
    <row r="151" spans="1:19" x14ac:dyDescent="0.15">
      <c r="A151">
        <v>7</v>
      </c>
      <c r="B151" t="s">
        <v>289</v>
      </c>
      <c r="C151">
        <v>16</v>
      </c>
      <c r="D151" s="47">
        <f t="shared" si="21"/>
        <v>20.152543263816607</v>
      </c>
      <c r="E151">
        <v>-31</v>
      </c>
      <c r="F151">
        <v>0.5</v>
      </c>
      <c r="G151">
        <v>2</v>
      </c>
      <c r="H151">
        <v>3</v>
      </c>
      <c r="I151">
        <v>8</v>
      </c>
      <c r="J151">
        <v>8</v>
      </c>
      <c r="K151">
        <v>8</v>
      </c>
      <c r="L151">
        <v>0</v>
      </c>
      <c r="M151">
        <v>21</v>
      </c>
      <c r="N151">
        <v>0.36</v>
      </c>
      <c r="O151">
        <v>0</v>
      </c>
      <c r="P151" s="13">
        <f t="shared" si="22"/>
        <v>3337.4298821042826</v>
      </c>
      <c r="Q151">
        <v>9</v>
      </c>
      <c r="R151" s="47">
        <f t="shared" si="23"/>
        <v>4.1399999999999997</v>
      </c>
    </row>
    <row r="152" spans="1:19" x14ac:dyDescent="0.15">
      <c r="A152">
        <v>7</v>
      </c>
      <c r="B152" t="s">
        <v>282</v>
      </c>
      <c r="C152">
        <v>17</v>
      </c>
      <c r="D152" s="47">
        <f t="shared" si="21"/>
        <v>90</v>
      </c>
      <c r="E152">
        <v>-10</v>
      </c>
      <c r="F152">
        <v>1</v>
      </c>
      <c r="G152">
        <v>10</v>
      </c>
      <c r="H152">
        <v>9</v>
      </c>
      <c r="I152">
        <v>6</v>
      </c>
      <c r="J152">
        <v>6</v>
      </c>
      <c r="K152">
        <v>7</v>
      </c>
      <c r="L152">
        <v>7</v>
      </c>
      <c r="M152">
        <v>0</v>
      </c>
      <c r="N152">
        <v>0</v>
      </c>
      <c r="O152">
        <v>0</v>
      </c>
      <c r="P152" s="13">
        <f t="shared" si="22"/>
        <v>2575.537547611043</v>
      </c>
      <c r="Q152">
        <v>9</v>
      </c>
      <c r="R152" s="47">
        <f t="shared" si="23"/>
        <v>26.055</v>
      </c>
    </row>
    <row r="153" spans="1:19" x14ac:dyDescent="0.15">
      <c r="A153">
        <v>7</v>
      </c>
      <c r="B153" t="s">
        <v>283</v>
      </c>
      <c r="C153">
        <v>17</v>
      </c>
      <c r="D153" s="47">
        <f t="shared" si="21"/>
        <v>64.036122618409678</v>
      </c>
      <c r="E153">
        <v>-13</v>
      </c>
      <c r="F153">
        <v>0.9</v>
      </c>
      <c r="G153">
        <v>7</v>
      </c>
      <c r="H153">
        <v>6</v>
      </c>
      <c r="I153">
        <v>7</v>
      </c>
      <c r="J153">
        <v>9</v>
      </c>
      <c r="K153">
        <v>9</v>
      </c>
      <c r="L153">
        <v>1</v>
      </c>
      <c r="M153">
        <v>0</v>
      </c>
      <c r="N153">
        <v>0.14000000000000001</v>
      </c>
      <c r="O153">
        <v>0</v>
      </c>
      <c r="P153" s="13">
        <f t="shared" si="22"/>
        <v>3073.6387561221909</v>
      </c>
      <c r="Q153" s="1" t="s">
        <v>691</v>
      </c>
      <c r="R153" s="47">
        <f t="shared" si="23"/>
        <v>17.630549999999999</v>
      </c>
      <c r="S153" t="s">
        <v>586</v>
      </c>
    </row>
    <row r="154" spans="1:19" x14ac:dyDescent="0.15">
      <c r="A154">
        <v>7</v>
      </c>
      <c r="B154" t="s">
        <v>344</v>
      </c>
      <c r="C154">
        <v>17</v>
      </c>
      <c r="D154" s="47">
        <f t="shared" si="21"/>
        <v>64.036122618409678</v>
      </c>
      <c r="E154">
        <v>-9</v>
      </c>
      <c r="F154">
        <v>0.9</v>
      </c>
      <c r="G154">
        <v>6</v>
      </c>
      <c r="H154">
        <v>6</v>
      </c>
      <c r="I154">
        <v>9</v>
      </c>
      <c r="J154">
        <v>7</v>
      </c>
      <c r="K154">
        <v>8</v>
      </c>
      <c r="L154">
        <v>0</v>
      </c>
      <c r="M154">
        <v>7</v>
      </c>
      <c r="N154">
        <v>0.17499999999999999</v>
      </c>
      <c r="O154">
        <v>0</v>
      </c>
      <c r="P154" s="13">
        <f t="shared" si="22"/>
        <v>3654.8100889181765</v>
      </c>
      <c r="Q154" s="1" t="s">
        <v>691</v>
      </c>
      <c r="R154" s="47">
        <f t="shared" si="23"/>
        <v>15.111899999999999</v>
      </c>
      <c r="S154" t="s">
        <v>399</v>
      </c>
    </row>
    <row r="155" spans="1:19" x14ac:dyDescent="0.15">
      <c r="A155">
        <v>7</v>
      </c>
      <c r="B155" t="s">
        <v>284</v>
      </c>
      <c r="C155">
        <v>17</v>
      </c>
      <c r="D155" s="47">
        <f t="shared" si="21"/>
        <v>59.76704777718237</v>
      </c>
      <c r="E155">
        <v>-5</v>
      </c>
      <c r="F155">
        <v>0.9</v>
      </c>
      <c r="G155">
        <v>6</v>
      </c>
      <c r="H155">
        <v>5</v>
      </c>
      <c r="I155">
        <v>10</v>
      </c>
      <c r="J155">
        <v>7</v>
      </c>
      <c r="K155">
        <v>8</v>
      </c>
      <c r="L155">
        <v>0</v>
      </c>
      <c r="M155">
        <v>9</v>
      </c>
      <c r="N155">
        <v>0.17499999999999999</v>
      </c>
      <c r="O155">
        <v>0</v>
      </c>
      <c r="P155" s="13">
        <f t="shared" si="22"/>
        <v>3727.0120992824118</v>
      </c>
      <c r="Q155" s="1" t="s">
        <v>691</v>
      </c>
      <c r="R155" s="47">
        <f t="shared" si="23"/>
        <v>15.111899999999999</v>
      </c>
      <c r="S155" t="s">
        <v>399</v>
      </c>
    </row>
    <row r="156" spans="1:19" x14ac:dyDescent="0.15">
      <c r="A156">
        <v>7</v>
      </c>
      <c r="B156" t="s">
        <v>299</v>
      </c>
      <c r="C156">
        <v>18</v>
      </c>
      <c r="D156" s="47">
        <f t="shared" si="21"/>
        <v>156.53947106081583</v>
      </c>
      <c r="E156">
        <v>-9</v>
      </c>
      <c r="F156">
        <v>1.4</v>
      </c>
      <c r="G156">
        <v>9</v>
      </c>
      <c r="H156">
        <v>9</v>
      </c>
      <c r="I156">
        <v>8</v>
      </c>
      <c r="J156">
        <v>9</v>
      </c>
      <c r="K156">
        <v>7</v>
      </c>
      <c r="L156">
        <v>0</v>
      </c>
      <c r="M156">
        <v>2</v>
      </c>
      <c r="N156">
        <v>0.08</v>
      </c>
      <c r="O156">
        <v>0</v>
      </c>
      <c r="P156" s="13">
        <f t="shared" si="22"/>
        <v>5356.6519396060366</v>
      </c>
      <c r="Q156">
        <v>9</v>
      </c>
      <c r="R156" s="47">
        <f t="shared" si="23"/>
        <v>27.815399999999993</v>
      </c>
      <c r="S156" t="s">
        <v>207</v>
      </c>
    </row>
    <row r="157" spans="1:19" x14ac:dyDescent="0.15">
      <c r="A157">
        <v>7</v>
      </c>
      <c r="B157" t="s">
        <v>290</v>
      </c>
      <c r="C157">
        <v>20</v>
      </c>
      <c r="D157" s="47">
        <f t="shared" si="21"/>
        <v>200.70506579929665</v>
      </c>
      <c r="E157">
        <v>-15</v>
      </c>
      <c r="F157">
        <v>1.5</v>
      </c>
      <c r="G157">
        <v>10</v>
      </c>
      <c r="H157">
        <v>10</v>
      </c>
      <c r="I157">
        <v>10</v>
      </c>
      <c r="J157">
        <v>10</v>
      </c>
      <c r="K157">
        <v>9</v>
      </c>
      <c r="L157">
        <v>3</v>
      </c>
      <c r="M157">
        <v>10</v>
      </c>
      <c r="N157">
        <v>0.27500000000000002</v>
      </c>
      <c r="O157">
        <v>0</v>
      </c>
      <c r="P157" s="13">
        <f t="shared" si="22"/>
        <v>18698.060960726416</v>
      </c>
      <c r="Q157">
        <v>10</v>
      </c>
      <c r="R157" s="47">
        <f t="shared" si="23"/>
        <v>34.65</v>
      </c>
      <c r="S157" t="s">
        <v>548</v>
      </c>
    </row>
    <row r="158" spans="1:19" x14ac:dyDescent="0.15">
      <c r="A158">
        <v>7</v>
      </c>
      <c r="B158" t="s">
        <v>422</v>
      </c>
      <c r="C158">
        <v>22</v>
      </c>
      <c r="D158" s="47">
        <f t="shared" si="21"/>
        <v>229.63966338592294</v>
      </c>
      <c r="E158">
        <v>-13</v>
      </c>
      <c r="F158">
        <v>1.5</v>
      </c>
      <c r="G158">
        <v>11</v>
      </c>
      <c r="H158">
        <v>11</v>
      </c>
      <c r="I158">
        <v>10</v>
      </c>
      <c r="J158">
        <v>8</v>
      </c>
      <c r="K158">
        <v>9</v>
      </c>
      <c r="L158">
        <v>3</v>
      </c>
      <c r="M158">
        <v>11</v>
      </c>
      <c r="N158">
        <v>0.27500000000000002</v>
      </c>
      <c r="O158">
        <v>0</v>
      </c>
      <c r="P158" s="13">
        <f t="shared" si="22"/>
        <v>21594.542170031284</v>
      </c>
      <c r="Q158">
        <v>10</v>
      </c>
      <c r="R158" s="47">
        <f t="shared" si="23"/>
        <v>41.233499999999999</v>
      </c>
      <c r="S158" t="s">
        <v>548</v>
      </c>
    </row>
    <row r="159" spans="1:19" x14ac:dyDescent="0.15">
      <c r="A159">
        <v>7</v>
      </c>
      <c r="B159" t="s">
        <v>292</v>
      </c>
      <c r="C159">
        <v>21</v>
      </c>
      <c r="D159" s="47">
        <f t="shared" si="21"/>
        <v>131.52062956053703</v>
      </c>
      <c r="E159">
        <v>-12</v>
      </c>
      <c r="F159">
        <v>1.1000000000000001</v>
      </c>
      <c r="G159">
        <v>9</v>
      </c>
      <c r="H159">
        <v>10</v>
      </c>
      <c r="I159">
        <v>8</v>
      </c>
      <c r="J159">
        <v>8</v>
      </c>
      <c r="K159">
        <v>8</v>
      </c>
      <c r="L159">
        <v>7</v>
      </c>
      <c r="M159">
        <v>12</v>
      </c>
      <c r="N159">
        <v>0.1</v>
      </c>
      <c r="O159">
        <v>0</v>
      </c>
      <c r="P159" s="13">
        <f t="shared" si="22"/>
        <v>7089.6785813240704</v>
      </c>
      <c r="Q159">
        <v>12</v>
      </c>
      <c r="R159" s="47">
        <f t="shared" si="23"/>
        <v>28.750950000000003</v>
      </c>
      <c r="S159" t="s">
        <v>415</v>
      </c>
    </row>
    <row r="160" spans="1:19" x14ac:dyDescent="0.15">
      <c r="A160">
        <v>7</v>
      </c>
      <c r="B160" t="s">
        <v>340</v>
      </c>
      <c r="C160">
        <v>21</v>
      </c>
      <c r="D160" s="47">
        <f t="shared" si="21"/>
        <v>102</v>
      </c>
      <c r="E160">
        <v>-8</v>
      </c>
      <c r="F160">
        <v>1</v>
      </c>
      <c r="G160">
        <v>7</v>
      </c>
      <c r="H160">
        <v>8</v>
      </c>
      <c r="I160">
        <v>11</v>
      </c>
      <c r="J160">
        <v>8</v>
      </c>
      <c r="K160">
        <v>9</v>
      </c>
      <c r="L160">
        <v>4</v>
      </c>
      <c r="M160">
        <v>17</v>
      </c>
      <c r="N160">
        <v>0.2</v>
      </c>
      <c r="O160">
        <v>0</v>
      </c>
      <c r="P160" s="13">
        <f t="shared" si="22"/>
        <v>8881.4693644437866</v>
      </c>
      <c r="Q160" s="1" t="s">
        <v>691</v>
      </c>
      <c r="R160" s="47">
        <f t="shared" si="23"/>
        <v>21.640499999999999</v>
      </c>
      <c r="S160" t="s">
        <v>414</v>
      </c>
    </row>
    <row r="161" spans="1:19" ht="12.75" customHeight="1" x14ac:dyDescent="0.15">
      <c r="A161">
        <v>7</v>
      </c>
      <c r="B161" t="s">
        <v>293</v>
      </c>
      <c r="C161">
        <v>23</v>
      </c>
      <c r="D161" s="47">
        <f t="shared" si="21"/>
        <v>654.01034854197837</v>
      </c>
      <c r="E161">
        <v>1</v>
      </c>
      <c r="F161">
        <v>2.6</v>
      </c>
      <c r="G161">
        <v>11</v>
      </c>
      <c r="H161">
        <v>15</v>
      </c>
      <c r="I161">
        <v>2</v>
      </c>
      <c r="J161">
        <v>3</v>
      </c>
      <c r="K161">
        <v>5</v>
      </c>
      <c r="L161">
        <v>8</v>
      </c>
      <c r="M161">
        <v>2</v>
      </c>
      <c r="N161">
        <v>0.21</v>
      </c>
      <c r="O161">
        <v>0</v>
      </c>
      <c r="P161" s="13">
        <f t="shared" si="22"/>
        <v>26578.234958433466</v>
      </c>
      <c r="Q161">
        <v>11</v>
      </c>
      <c r="R161" s="47">
        <f t="shared" si="23"/>
        <v>56.241899999999994</v>
      </c>
      <c r="S161" t="s">
        <v>294</v>
      </c>
    </row>
    <row r="162" spans="1:19" ht="13.5" customHeight="1" x14ac:dyDescent="0.15">
      <c r="A162">
        <v>7</v>
      </c>
      <c r="B162" t="s">
        <v>295</v>
      </c>
      <c r="C162">
        <v>24</v>
      </c>
      <c r="D162" s="47">
        <f t="shared" si="21"/>
        <v>492.99663690536465</v>
      </c>
      <c r="E162">
        <v>-4</v>
      </c>
      <c r="F162">
        <v>2.1</v>
      </c>
      <c r="G162">
        <v>13</v>
      </c>
      <c r="H162">
        <v>15</v>
      </c>
      <c r="I162">
        <v>3</v>
      </c>
      <c r="J162">
        <v>4</v>
      </c>
      <c r="K162">
        <v>5</v>
      </c>
      <c r="L162">
        <v>15</v>
      </c>
      <c r="M162">
        <v>7</v>
      </c>
      <c r="N162">
        <v>7.4999999999999997E-2</v>
      </c>
      <c r="O162">
        <v>2</v>
      </c>
      <c r="P162" s="13">
        <f t="shared" si="22"/>
        <v>26338.730095675579</v>
      </c>
      <c r="Q162">
        <v>11</v>
      </c>
      <c r="R162" s="47">
        <f t="shared" si="23"/>
        <v>61.401600000000002</v>
      </c>
      <c r="S162" t="s">
        <v>235</v>
      </c>
    </row>
    <row r="163" spans="1:19" x14ac:dyDescent="0.15">
      <c r="A163">
        <v>7</v>
      </c>
      <c r="B163" t="s">
        <v>353</v>
      </c>
      <c r="C163">
        <v>25</v>
      </c>
      <c r="D163" s="47">
        <f t="shared" si="21"/>
        <v>435.57777721091321</v>
      </c>
      <c r="E163">
        <v>-7</v>
      </c>
      <c r="F163">
        <v>2</v>
      </c>
      <c r="G163">
        <v>15</v>
      </c>
      <c r="H163">
        <v>13</v>
      </c>
      <c r="I163">
        <v>7</v>
      </c>
      <c r="J163">
        <v>6</v>
      </c>
      <c r="K163">
        <v>5</v>
      </c>
      <c r="L163">
        <v>3</v>
      </c>
      <c r="M163">
        <v>0</v>
      </c>
      <c r="N163">
        <v>0</v>
      </c>
      <c r="O163">
        <v>2</v>
      </c>
      <c r="P163" s="13">
        <f t="shared" si="22"/>
        <v>16222.076703241593</v>
      </c>
      <c r="Q163">
        <v>10</v>
      </c>
      <c r="R163" s="47">
        <f t="shared" si="23"/>
        <v>71.55</v>
      </c>
    </row>
    <row r="164" spans="1:19" ht="13.5" customHeight="1" x14ac:dyDescent="0.15">
      <c r="A164">
        <v>7</v>
      </c>
      <c r="B164" t="s">
        <v>354</v>
      </c>
      <c r="C164">
        <v>25</v>
      </c>
      <c r="D164" s="47">
        <f t="shared" si="21"/>
        <v>435.57777721091321</v>
      </c>
      <c r="E164">
        <v>-7</v>
      </c>
      <c r="F164">
        <v>2</v>
      </c>
      <c r="G164">
        <v>15</v>
      </c>
      <c r="H164">
        <v>13</v>
      </c>
      <c r="I164">
        <v>6</v>
      </c>
      <c r="J164">
        <v>6</v>
      </c>
      <c r="K164">
        <v>6</v>
      </c>
      <c r="L164">
        <v>3</v>
      </c>
      <c r="M164">
        <v>0</v>
      </c>
      <c r="N164">
        <v>0</v>
      </c>
      <c r="O164">
        <v>2</v>
      </c>
      <c r="P164" s="13">
        <f t="shared" si="22"/>
        <v>16222.076703241593</v>
      </c>
      <c r="Q164">
        <v>10</v>
      </c>
      <c r="R164" s="47">
        <f t="shared" si="23"/>
        <v>71.55</v>
      </c>
    </row>
    <row r="165" spans="1:19" x14ac:dyDescent="0.15">
      <c r="A165">
        <v>7</v>
      </c>
      <c r="B165" t="s">
        <v>296</v>
      </c>
      <c r="C165">
        <v>27</v>
      </c>
      <c r="D165" s="47">
        <f t="shared" si="21"/>
        <v>702.7944222886232</v>
      </c>
      <c r="E165">
        <v>-10</v>
      </c>
      <c r="F165">
        <v>2.8</v>
      </c>
      <c r="G165">
        <v>12</v>
      </c>
      <c r="H165">
        <v>11</v>
      </c>
      <c r="I165">
        <v>11</v>
      </c>
      <c r="J165">
        <v>6</v>
      </c>
      <c r="K165">
        <v>8</v>
      </c>
      <c r="L165">
        <v>13</v>
      </c>
      <c r="M165">
        <v>9</v>
      </c>
      <c r="N165">
        <v>0.22</v>
      </c>
      <c r="O165">
        <v>0.25</v>
      </c>
      <c r="P165" s="13">
        <f t="shared" si="22"/>
        <v>64410.334797192285</v>
      </c>
      <c r="Q165">
        <v>13</v>
      </c>
      <c r="R165" s="47">
        <f t="shared" si="23"/>
        <v>73.3536</v>
      </c>
      <c r="S165" t="s">
        <v>220</v>
      </c>
    </row>
    <row r="166" spans="1:19" x14ac:dyDescent="0.15">
      <c r="A166">
        <v>7</v>
      </c>
      <c r="B166" t="s">
        <v>297</v>
      </c>
      <c r="C166">
        <v>27</v>
      </c>
      <c r="D166" s="47">
        <f t="shared" si="21"/>
        <v>737.93414340305435</v>
      </c>
      <c r="E166">
        <v>-10</v>
      </c>
      <c r="F166">
        <v>2.8</v>
      </c>
      <c r="G166">
        <v>11</v>
      </c>
      <c r="H166">
        <v>12</v>
      </c>
      <c r="I166">
        <v>11</v>
      </c>
      <c r="J166">
        <v>6</v>
      </c>
      <c r="K166">
        <v>8</v>
      </c>
      <c r="L166">
        <v>12</v>
      </c>
      <c r="M166">
        <v>10</v>
      </c>
      <c r="N166">
        <v>0.22</v>
      </c>
      <c r="O166">
        <v>0</v>
      </c>
      <c r="P166" s="13">
        <f t="shared" si="22"/>
        <v>60677.715127611125</v>
      </c>
      <c r="Q166">
        <v>13</v>
      </c>
      <c r="R166" s="47">
        <f t="shared" si="23"/>
        <v>67.240799999999993</v>
      </c>
      <c r="S166" t="s">
        <v>220</v>
      </c>
    </row>
    <row r="167" spans="1:19" x14ac:dyDescent="0.15">
      <c r="A167">
        <v>7</v>
      </c>
      <c r="B167" t="s">
        <v>298</v>
      </c>
      <c r="C167">
        <v>27</v>
      </c>
      <c r="D167" s="47">
        <f t="shared" si="21"/>
        <v>702.7944222886232</v>
      </c>
      <c r="E167">
        <v>-10</v>
      </c>
      <c r="F167">
        <v>2.8</v>
      </c>
      <c r="G167">
        <v>11</v>
      </c>
      <c r="H167">
        <v>11</v>
      </c>
      <c r="I167">
        <v>12</v>
      </c>
      <c r="J167">
        <v>6</v>
      </c>
      <c r="K167">
        <v>8</v>
      </c>
      <c r="L167">
        <v>14</v>
      </c>
      <c r="M167">
        <v>8</v>
      </c>
      <c r="N167">
        <v>0.22</v>
      </c>
      <c r="O167">
        <v>0</v>
      </c>
      <c r="P167" s="13">
        <f t="shared" si="22"/>
        <v>60621.491573828032</v>
      </c>
      <c r="Q167">
        <v>13</v>
      </c>
      <c r="R167" s="47">
        <f t="shared" si="23"/>
        <v>67.240799999999993</v>
      </c>
      <c r="S167" t="s">
        <v>220</v>
      </c>
    </row>
    <row r="168" spans="1:19" ht="12.75" customHeight="1" x14ac:dyDescent="0.15">
      <c r="A168" s="12" t="s">
        <v>197</v>
      </c>
      <c r="B168" s="51" t="s">
        <v>670</v>
      </c>
      <c r="C168" s="51" t="s">
        <v>181</v>
      </c>
      <c r="D168" s="51" t="s">
        <v>198</v>
      </c>
      <c r="E168" s="51" t="s">
        <v>199</v>
      </c>
      <c r="F168" s="51" t="s">
        <v>200</v>
      </c>
      <c r="G168" s="51" t="s">
        <v>0</v>
      </c>
      <c r="H168" s="51" t="s">
        <v>1</v>
      </c>
      <c r="I168" s="51" t="s">
        <v>82</v>
      </c>
      <c r="J168" s="51" t="s">
        <v>2</v>
      </c>
      <c r="K168" s="51" t="s">
        <v>3</v>
      </c>
      <c r="L168" s="51" t="s">
        <v>442</v>
      </c>
      <c r="M168" s="51" t="s">
        <v>443</v>
      </c>
      <c r="N168" s="51" t="s">
        <v>201</v>
      </c>
      <c r="O168" s="51" t="s">
        <v>391</v>
      </c>
      <c r="P168" s="51" t="s">
        <v>183</v>
      </c>
      <c r="Q168" s="51" t="s">
        <v>182</v>
      </c>
      <c r="R168" s="51" t="s">
        <v>668</v>
      </c>
      <c r="S168" s="52" t="s">
        <v>669</v>
      </c>
    </row>
    <row r="169" spans="1:19" ht="12.75" customHeight="1" x14ac:dyDescent="0.15">
      <c r="A169">
        <v>8</v>
      </c>
      <c r="B169" t="s">
        <v>357</v>
      </c>
      <c r="C169">
        <v>17</v>
      </c>
      <c r="D169" s="47">
        <f t="shared" ref="D169:D190" si="24">(C169+3)*(H169+9)*0.25*F169^1.5</f>
        <v>148.22280526288793</v>
      </c>
      <c r="E169">
        <v>-3</v>
      </c>
      <c r="F169">
        <v>1.3</v>
      </c>
      <c r="G169">
        <v>14</v>
      </c>
      <c r="H169">
        <v>11</v>
      </c>
      <c r="I169">
        <v>4</v>
      </c>
      <c r="J169">
        <v>6</v>
      </c>
      <c r="K169">
        <v>4</v>
      </c>
      <c r="L169">
        <v>0</v>
      </c>
      <c r="M169">
        <v>0</v>
      </c>
      <c r="N169">
        <v>0.16</v>
      </c>
      <c r="O169">
        <v>-2</v>
      </c>
      <c r="P169" s="13">
        <f t="shared" ref="P169:P190" si="25">(((C169+1.8)^1.4*(F169^1.25)*(-0.25*(E169-10)+G169+H169+I169+J169+K169+L169+M169))^(1+N169*0.4)+N169*200+D169*2)*(1+O169*0.25)*0.8</f>
        <v>2538.3434099700903</v>
      </c>
      <c r="Q169">
        <v>14</v>
      </c>
      <c r="R169" s="47">
        <f t="shared" ref="R169:R190" si="26">(G169)*(F169+2)*(C169*0.9+4)*0.045</f>
        <v>40.124699999999997</v>
      </c>
      <c r="S169" t="s">
        <v>419</v>
      </c>
    </row>
    <row r="170" spans="1:19" ht="12.75" customHeight="1" x14ac:dyDescent="0.15">
      <c r="A170">
        <v>8</v>
      </c>
      <c r="B170" t="s">
        <v>272</v>
      </c>
      <c r="C170">
        <v>16</v>
      </c>
      <c r="D170" s="47">
        <f t="shared" si="24"/>
        <v>295.57063453597686</v>
      </c>
      <c r="E170">
        <v>-1</v>
      </c>
      <c r="F170">
        <v>2</v>
      </c>
      <c r="G170">
        <v>10</v>
      </c>
      <c r="H170">
        <v>13</v>
      </c>
      <c r="I170">
        <v>3</v>
      </c>
      <c r="J170">
        <v>4</v>
      </c>
      <c r="K170">
        <v>7</v>
      </c>
      <c r="L170">
        <v>2</v>
      </c>
      <c r="M170">
        <v>0</v>
      </c>
      <c r="N170">
        <v>0.08</v>
      </c>
      <c r="O170">
        <v>0</v>
      </c>
      <c r="P170" s="13">
        <f t="shared" si="25"/>
        <v>6381.5163431984547</v>
      </c>
      <c r="Q170">
        <v>10</v>
      </c>
      <c r="R170" s="47">
        <f t="shared" si="26"/>
        <v>33.119999999999997</v>
      </c>
      <c r="S170" t="s">
        <v>207</v>
      </c>
    </row>
    <row r="171" spans="1:19" ht="12.75" customHeight="1" x14ac:dyDescent="0.15">
      <c r="A171">
        <v>8</v>
      </c>
      <c r="B171" t="s">
        <v>421</v>
      </c>
      <c r="C171">
        <v>17</v>
      </c>
      <c r="D171" s="47">
        <f t="shared" si="24"/>
        <v>115</v>
      </c>
      <c r="E171">
        <v>10</v>
      </c>
      <c r="F171">
        <v>1</v>
      </c>
      <c r="G171">
        <v>12</v>
      </c>
      <c r="H171">
        <v>14</v>
      </c>
      <c r="I171">
        <v>2</v>
      </c>
      <c r="J171">
        <v>2</v>
      </c>
      <c r="K171">
        <v>6</v>
      </c>
      <c r="L171">
        <v>0</v>
      </c>
      <c r="M171">
        <v>0</v>
      </c>
      <c r="N171">
        <v>0.17</v>
      </c>
      <c r="O171">
        <v>0</v>
      </c>
      <c r="P171" s="13">
        <f t="shared" si="25"/>
        <v>3164.7333156332552</v>
      </c>
      <c r="Q171">
        <v>10</v>
      </c>
      <c r="R171" s="47">
        <f t="shared" si="26"/>
        <v>31.266000000000002</v>
      </c>
      <c r="S171" t="s">
        <v>426</v>
      </c>
    </row>
    <row r="172" spans="1:19" ht="12.75" customHeight="1" x14ac:dyDescent="0.15">
      <c r="A172">
        <v>8</v>
      </c>
      <c r="B172" t="s">
        <v>300</v>
      </c>
      <c r="C172">
        <v>19</v>
      </c>
      <c r="D172" s="47">
        <f t="shared" si="24"/>
        <v>60.5</v>
      </c>
      <c r="E172">
        <v>-21</v>
      </c>
      <c r="F172">
        <v>1</v>
      </c>
      <c r="G172">
        <v>2</v>
      </c>
      <c r="H172">
        <v>2</v>
      </c>
      <c r="I172">
        <v>10</v>
      </c>
      <c r="J172">
        <v>8</v>
      </c>
      <c r="K172">
        <v>12</v>
      </c>
      <c r="L172">
        <v>0</v>
      </c>
      <c r="M172">
        <v>15</v>
      </c>
      <c r="N172">
        <v>0.255</v>
      </c>
      <c r="O172">
        <v>0</v>
      </c>
      <c r="P172" s="13">
        <f t="shared" si="25"/>
        <v>7541.6353630305093</v>
      </c>
      <c r="Q172">
        <v>10</v>
      </c>
      <c r="R172" s="47">
        <f t="shared" si="26"/>
        <v>5.6970000000000001</v>
      </c>
      <c r="S172" t="s">
        <v>427</v>
      </c>
    </row>
    <row r="173" spans="1:19" x14ac:dyDescent="0.15">
      <c r="A173">
        <v>8</v>
      </c>
      <c r="B173" t="s">
        <v>303</v>
      </c>
      <c r="C173">
        <v>21</v>
      </c>
      <c r="D173" s="47">
        <f t="shared" si="24"/>
        <v>144</v>
      </c>
      <c r="E173">
        <v>-10</v>
      </c>
      <c r="F173">
        <v>1</v>
      </c>
      <c r="G173">
        <v>8</v>
      </c>
      <c r="H173">
        <v>15</v>
      </c>
      <c r="I173">
        <v>2</v>
      </c>
      <c r="J173">
        <v>7</v>
      </c>
      <c r="K173">
        <v>7</v>
      </c>
      <c r="L173">
        <v>6</v>
      </c>
      <c r="M173">
        <v>0</v>
      </c>
      <c r="N173">
        <v>0.09</v>
      </c>
      <c r="O173">
        <v>0</v>
      </c>
      <c r="P173" s="13">
        <f t="shared" si="25"/>
        <v>4537.906018840501</v>
      </c>
      <c r="Q173">
        <v>10</v>
      </c>
      <c r="R173" s="47">
        <f t="shared" si="26"/>
        <v>24.731999999999999</v>
      </c>
      <c r="S173" t="s">
        <v>214</v>
      </c>
    </row>
    <row r="174" spans="1:19" x14ac:dyDescent="0.15">
      <c r="A174">
        <v>8</v>
      </c>
      <c r="B174" t="s">
        <v>306</v>
      </c>
      <c r="C174">
        <v>20</v>
      </c>
      <c r="D174" s="47">
        <f t="shared" si="24"/>
        <v>109.25</v>
      </c>
      <c r="E174">
        <v>-12</v>
      </c>
      <c r="F174">
        <v>1</v>
      </c>
      <c r="G174">
        <v>10</v>
      </c>
      <c r="H174">
        <v>10</v>
      </c>
      <c r="I174">
        <v>6</v>
      </c>
      <c r="J174">
        <v>7</v>
      </c>
      <c r="K174">
        <v>7</v>
      </c>
      <c r="L174">
        <v>8</v>
      </c>
      <c r="M174">
        <v>0</v>
      </c>
      <c r="N174">
        <v>0.12</v>
      </c>
      <c r="O174">
        <v>0</v>
      </c>
      <c r="P174" s="13">
        <f t="shared" si="25"/>
        <v>4960.3740122248628</v>
      </c>
      <c r="Q174">
        <v>11</v>
      </c>
      <c r="R174" s="47">
        <f t="shared" si="26"/>
        <v>29.7</v>
      </c>
      <c r="S174" t="s">
        <v>431</v>
      </c>
    </row>
    <row r="175" spans="1:19" x14ac:dyDescent="0.15">
      <c r="A175">
        <v>8</v>
      </c>
      <c r="B175" t="s">
        <v>307</v>
      </c>
      <c r="C175">
        <v>20</v>
      </c>
      <c r="D175" s="47">
        <f t="shared" si="24"/>
        <v>78.550977078582548</v>
      </c>
      <c r="E175">
        <v>-16</v>
      </c>
      <c r="F175">
        <v>0.9</v>
      </c>
      <c r="G175">
        <v>7</v>
      </c>
      <c r="H175">
        <v>7</v>
      </c>
      <c r="I175">
        <v>7</v>
      </c>
      <c r="J175">
        <v>10</v>
      </c>
      <c r="K175">
        <v>10</v>
      </c>
      <c r="L175">
        <v>1</v>
      </c>
      <c r="M175">
        <v>0</v>
      </c>
      <c r="N175">
        <v>0.17</v>
      </c>
      <c r="O175">
        <v>0</v>
      </c>
      <c r="P175" s="13">
        <f t="shared" si="25"/>
        <v>4554.7399146914931</v>
      </c>
      <c r="Q175" s="1" t="s">
        <v>691</v>
      </c>
      <c r="R175" s="47">
        <f t="shared" si="26"/>
        <v>20.097000000000001</v>
      </c>
      <c r="S175" t="s">
        <v>308</v>
      </c>
    </row>
    <row r="176" spans="1:19" x14ac:dyDescent="0.15">
      <c r="A176">
        <v>8</v>
      </c>
      <c r="B176" t="s">
        <v>309</v>
      </c>
      <c r="C176">
        <v>20</v>
      </c>
      <c r="D176" s="47">
        <f t="shared" si="24"/>
        <v>73.641541011171128</v>
      </c>
      <c r="E176">
        <v>-12</v>
      </c>
      <c r="F176">
        <v>0.9</v>
      </c>
      <c r="G176">
        <v>6</v>
      </c>
      <c r="H176">
        <v>6</v>
      </c>
      <c r="I176">
        <v>9</v>
      </c>
      <c r="J176">
        <v>8</v>
      </c>
      <c r="K176">
        <v>9</v>
      </c>
      <c r="L176">
        <v>0</v>
      </c>
      <c r="M176">
        <v>8</v>
      </c>
      <c r="N176">
        <v>0.21</v>
      </c>
      <c r="O176">
        <v>0</v>
      </c>
      <c r="P176" s="13">
        <f t="shared" si="25"/>
        <v>5496.1986461830347</v>
      </c>
      <c r="Q176" s="1" t="s">
        <v>691</v>
      </c>
      <c r="R176" s="47">
        <f t="shared" si="26"/>
        <v>17.225999999999999</v>
      </c>
      <c r="S176" t="s">
        <v>345</v>
      </c>
    </row>
    <row r="177" spans="1:19" x14ac:dyDescent="0.15">
      <c r="A177">
        <v>8</v>
      </c>
      <c r="B177" t="s">
        <v>392</v>
      </c>
      <c r="C177">
        <v>20</v>
      </c>
      <c r="D177" s="47">
        <f t="shared" si="24"/>
        <v>68.732104943759722</v>
      </c>
      <c r="E177">
        <v>-7</v>
      </c>
      <c r="F177">
        <v>0.9</v>
      </c>
      <c r="G177">
        <v>6</v>
      </c>
      <c r="H177">
        <v>5</v>
      </c>
      <c r="I177">
        <v>10</v>
      </c>
      <c r="J177">
        <v>8</v>
      </c>
      <c r="K177">
        <v>9</v>
      </c>
      <c r="L177">
        <v>0</v>
      </c>
      <c r="M177">
        <v>11</v>
      </c>
      <c r="N177">
        <v>0.21</v>
      </c>
      <c r="O177">
        <v>0</v>
      </c>
      <c r="P177" s="13">
        <f t="shared" si="25"/>
        <v>5685.4960797003732</v>
      </c>
      <c r="Q177" s="1" t="s">
        <v>691</v>
      </c>
      <c r="R177" s="47">
        <f t="shared" si="26"/>
        <v>17.225999999999999</v>
      </c>
      <c r="S177" t="s">
        <v>345</v>
      </c>
    </row>
    <row r="178" spans="1:19" x14ac:dyDescent="0.15">
      <c r="A178">
        <v>8</v>
      </c>
      <c r="B178" t="s">
        <v>301</v>
      </c>
      <c r="C178">
        <v>22</v>
      </c>
      <c r="D178" s="47">
        <f t="shared" si="24"/>
        <v>186.3565131676379</v>
      </c>
      <c r="E178">
        <v>-12</v>
      </c>
      <c r="F178">
        <v>1.4</v>
      </c>
      <c r="G178">
        <v>10</v>
      </c>
      <c r="H178">
        <v>9</v>
      </c>
      <c r="I178">
        <v>8</v>
      </c>
      <c r="J178">
        <v>8</v>
      </c>
      <c r="K178">
        <v>8</v>
      </c>
      <c r="L178">
        <v>0</v>
      </c>
      <c r="M178">
        <v>0</v>
      </c>
      <c r="N178">
        <v>0.27</v>
      </c>
      <c r="O178">
        <v>0</v>
      </c>
      <c r="P178" s="13">
        <f t="shared" si="25"/>
        <v>13183.153764490775</v>
      </c>
      <c r="Q178">
        <v>10</v>
      </c>
      <c r="R178" s="47">
        <f t="shared" si="26"/>
        <v>36.414000000000001</v>
      </c>
      <c r="S178" t="s">
        <v>302</v>
      </c>
    </row>
    <row r="179" spans="1:19" x14ac:dyDescent="0.15">
      <c r="A179">
        <v>8</v>
      </c>
      <c r="B179" t="s">
        <v>499</v>
      </c>
      <c r="C179">
        <v>23</v>
      </c>
      <c r="D179" s="47">
        <f t="shared" si="24"/>
        <v>123.5</v>
      </c>
      <c r="E179">
        <v>-13</v>
      </c>
      <c r="F179">
        <v>1</v>
      </c>
      <c r="G179">
        <v>8</v>
      </c>
      <c r="H179">
        <v>10</v>
      </c>
      <c r="I179">
        <v>9</v>
      </c>
      <c r="J179">
        <v>8</v>
      </c>
      <c r="K179">
        <v>9</v>
      </c>
      <c r="L179">
        <v>0</v>
      </c>
      <c r="M179">
        <v>5</v>
      </c>
      <c r="N179">
        <v>8.5000000000000006E-2</v>
      </c>
      <c r="O179">
        <v>0</v>
      </c>
      <c r="P179" s="13">
        <f t="shared" si="25"/>
        <v>5449.4645004343238</v>
      </c>
      <c r="Q179">
        <v>11</v>
      </c>
      <c r="R179" s="47">
        <f t="shared" si="26"/>
        <v>26.675999999999998</v>
      </c>
      <c r="S179" t="s">
        <v>305</v>
      </c>
    </row>
    <row r="180" spans="1:19" ht="12.75" customHeight="1" x14ac:dyDescent="0.15">
      <c r="A180">
        <v>8</v>
      </c>
      <c r="B180" t="s">
        <v>351</v>
      </c>
      <c r="C180">
        <v>23</v>
      </c>
      <c r="D180" s="47">
        <f t="shared" si="24"/>
        <v>202.32412918384202</v>
      </c>
      <c r="E180">
        <v>-5</v>
      </c>
      <c r="F180">
        <v>1.3</v>
      </c>
      <c r="G180">
        <v>14</v>
      </c>
      <c r="H180">
        <v>12</v>
      </c>
      <c r="I180">
        <v>3</v>
      </c>
      <c r="J180">
        <v>6</v>
      </c>
      <c r="K180">
        <v>4</v>
      </c>
      <c r="L180">
        <v>0</v>
      </c>
      <c r="M180">
        <v>0</v>
      </c>
      <c r="N180">
        <v>0.05</v>
      </c>
      <c r="O180">
        <v>0</v>
      </c>
      <c r="P180" s="13">
        <f t="shared" si="25"/>
        <v>5380.6515515796928</v>
      </c>
      <c r="Q180">
        <v>10</v>
      </c>
      <c r="R180" s="47">
        <f t="shared" si="26"/>
        <v>51.351299999999995</v>
      </c>
      <c r="S180" t="s">
        <v>235</v>
      </c>
    </row>
    <row r="181" spans="1:19" x14ac:dyDescent="0.15">
      <c r="A181">
        <v>8</v>
      </c>
      <c r="B181" t="s">
        <v>291</v>
      </c>
      <c r="C181">
        <v>24</v>
      </c>
      <c r="D181" s="47">
        <f t="shared" si="24"/>
        <v>235.61029463395695</v>
      </c>
      <c r="E181">
        <v>-16</v>
      </c>
      <c r="F181">
        <v>1.5</v>
      </c>
      <c r="G181">
        <v>10</v>
      </c>
      <c r="H181">
        <v>10</v>
      </c>
      <c r="I181">
        <v>10</v>
      </c>
      <c r="J181">
        <v>10</v>
      </c>
      <c r="K181">
        <v>9</v>
      </c>
      <c r="L181">
        <v>4</v>
      </c>
      <c r="M181">
        <v>11</v>
      </c>
      <c r="N181">
        <v>0.27500000000000002</v>
      </c>
      <c r="O181">
        <v>0</v>
      </c>
      <c r="P181" s="13">
        <f t="shared" si="25"/>
        <v>25113.390585054854</v>
      </c>
      <c r="Q181">
        <v>12</v>
      </c>
      <c r="R181" s="47">
        <f t="shared" si="26"/>
        <v>40.32</v>
      </c>
      <c r="S181" t="s">
        <v>549</v>
      </c>
    </row>
    <row r="182" spans="1:19" x14ac:dyDescent="0.15">
      <c r="A182">
        <v>8</v>
      </c>
      <c r="B182" t="s">
        <v>292</v>
      </c>
      <c r="C182">
        <v>24</v>
      </c>
      <c r="D182" s="47">
        <f t="shared" si="24"/>
        <v>147.96070825560415</v>
      </c>
      <c r="E182">
        <v>-15</v>
      </c>
      <c r="F182">
        <v>1.1000000000000001</v>
      </c>
      <c r="G182">
        <v>9</v>
      </c>
      <c r="H182">
        <v>10</v>
      </c>
      <c r="I182">
        <v>8</v>
      </c>
      <c r="J182">
        <v>8</v>
      </c>
      <c r="K182">
        <v>8</v>
      </c>
      <c r="L182">
        <v>7</v>
      </c>
      <c r="M182">
        <v>13</v>
      </c>
      <c r="N182">
        <v>0.1</v>
      </c>
      <c r="O182">
        <v>0</v>
      </c>
      <c r="P182" s="13">
        <f t="shared" si="25"/>
        <v>8691.0444580543681</v>
      </c>
      <c r="Q182">
        <v>13</v>
      </c>
      <c r="R182" s="47">
        <f t="shared" si="26"/>
        <v>32.140800000000006</v>
      </c>
      <c r="S182" t="s">
        <v>428</v>
      </c>
    </row>
    <row r="183" spans="1:19" ht="13.5" customHeight="1" x14ac:dyDescent="0.15">
      <c r="A183">
        <v>8</v>
      </c>
      <c r="B183" t="s">
        <v>340</v>
      </c>
      <c r="C183">
        <v>24</v>
      </c>
      <c r="D183" s="47">
        <f t="shared" si="24"/>
        <v>114.75</v>
      </c>
      <c r="E183">
        <v>-11</v>
      </c>
      <c r="F183">
        <v>1</v>
      </c>
      <c r="G183">
        <v>7</v>
      </c>
      <c r="H183">
        <v>8</v>
      </c>
      <c r="I183">
        <v>11</v>
      </c>
      <c r="J183">
        <v>8</v>
      </c>
      <c r="K183">
        <v>9</v>
      </c>
      <c r="L183">
        <v>4</v>
      </c>
      <c r="M183">
        <v>18</v>
      </c>
      <c r="N183">
        <v>0.21</v>
      </c>
      <c r="O183">
        <v>0</v>
      </c>
      <c r="P183" s="13">
        <f t="shared" si="25"/>
        <v>11363.447261253044</v>
      </c>
      <c r="Q183" s="1" t="s">
        <v>691</v>
      </c>
      <c r="R183" s="47">
        <f t="shared" si="26"/>
        <v>24.192</v>
      </c>
      <c r="S183" t="s">
        <v>414</v>
      </c>
    </row>
    <row r="184" spans="1:19" ht="12.75" customHeight="1" x14ac:dyDescent="0.15">
      <c r="A184">
        <v>8</v>
      </c>
      <c r="B184" t="s">
        <v>310</v>
      </c>
      <c r="C184">
        <v>25</v>
      </c>
      <c r="D184" s="47">
        <f t="shared" si="24"/>
        <v>479.67971814534758</v>
      </c>
      <c r="E184">
        <v>-9</v>
      </c>
      <c r="F184">
        <v>2.2000000000000002</v>
      </c>
      <c r="G184">
        <v>8</v>
      </c>
      <c r="H184">
        <v>12</v>
      </c>
      <c r="I184">
        <v>4</v>
      </c>
      <c r="J184">
        <v>5</v>
      </c>
      <c r="K184">
        <v>6</v>
      </c>
      <c r="L184">
        <v>6</v>
      </c>
      <c r="M184">
        <v>0</v>
      </c>
      <c r="N184">
        <v>0.27500000000000002</v>
      </c>
      <c r="O184">
        <v>0</v>
      </c>
      <c r="P184" s="13">
        <f t="shared" si="25"/>
        <v>28389.124233380993</v>
      </c>
      <c r="Q184">
        <v>12</v>
      </c>
      <c r="R184" s="47">
        <f t="shared" si="26"/>
        <v>40.068000000000005</v>
      </c>
      <c r="S184" t="s">
        <v>555</v>
      </c>
    </row>
    <row r="185" spans="1:19" ht="12.75" customHeight="1" x14ac:dyDescent="0.15">
      <c r="A185">
        <v>8</v>
      </c>
      <c r="B185" t="s">
        <v>503</v>
      </c>
      <c r="C185">
        <v>28</v>
      </c>
      <c r="D185" s="47">
        <f t="shared" si="24"/>
        <v>606.94168418390927</v>
      </c>
      <c r="E185">
        <v>-6</v>
      </c>
      <c r="F185">
        <v>2.2000000000000002</v>
      </c>
      <c r="G185">
        <v>13</v>
      </c>
      <c r="H185">
        <v>15</v>
      </c>
      <c r="I185">
        <v>3</v>
      </c>
      <c r="J185">
        <v>4</v>
      </c>
      <c r="K185">
        <v>5</v>
      </c>
      <c r="L185">
        <v>16</v>
      </c>
      <c r="M185">
        <v>7</v>
      </c>
      <c r="N185">
        <v>7.4999999999999997E-2</v>
      </c>
      <c r="O185">
        <v>2.5</v>
      </c>
      <c r="P185" s="13">
        <f t="shared" si="25"/>
        <v>38030.088634798602</v>
      </c>
      <c r="Q185">
        <v>13</v>
      </c>
      <c r="R185" s="47">
        <f t="shared" si="26"/>
        <v>71.744399999999999</v>
      </c>
      <c r="S185" t="s">
        <v>235</v>
      </c>
    </row>
    <row r="186" spans="1:19" ht="12.75" customHeight="1" x14ac:dyDescent="0.15">
      <c r="A186">
        <v>8</v>
      </c>
      <c r="B186" t="s">
        <v>312</v>
      </c>
      <c r="C186">
        <v>29</v>
      </c>
      <c r="D186" s="47">
        <f t="shared" si="24"/>
        <v>535.60128453916161</v>
      </c>
      <c r="E186">
        <v>-9</v>
      </c>
      <c r="F186">
        <v>2.1</v>
      </c>
      <c r="G186">
        <v>15</v>
      </c>
      <c r="H186">
        <v>13</v>
      </c>
      <c r="I186">
        <v>7</v>
      </c>
      <c r="J186">
        <v>6</v>
      </c>
      <c r="K186">
        <v>4</v>
      </c>
      <c r="L186">
        <v>4</v>
      </c>
      <c r="M186">
        <v>0</v>
      </c>
      <c r="N186">
        <v>0</v>
      </c>
      <c r="O186">
        <v>2</v>
      </c>
      <c r="P186" s="13">
        <f t="shared" si="25"/>
        <v>21069.020926188383</v>
      </c>
      <c r="Q186">
        <v>12</v>
      </c>
      <c r="R186" s="47">
        <f t="shared" si="26"/>
        <v>83.301749999999984</v>
      </c>
    </row>
    <row r="187" spans="1:19" ht="12.75" customHeight="1" x14ac:dyDescent="0.15">
      <c r="A187">
        <v>8</v>
      </c>
      <c r="B187" t="s">
        <v>356</v>
      </c>
      <c r="C187">
        <v>30</v>
      </c>
      <c r="D187" s="47">
        <f t="shared" si="24"/>
        <v>206.0532261334435</v>
      </c>
      <c r="E187">
        <v>-18</v>
      </c>
      <c r="F187">
        <v>1.2</v>
      </c>
      <c r="G187">
        <v>9</v>
      </c>
      <c r="H187">
        <v>10</v>
      </c>
      <c r="I187">
        <v>9</v>
      </c>
      <c r="J187">
        <v>8</v>
      </c>
      <c r="K187">
        <v>8</v>
      </c>
      <c r="L187">
        <v>9</v>
      </c>
      <c r="M187">
        <v>17</v>
      </c>
      <c r="N187">
        <v>0.26</v>
      </c>
      <c r="O187">
        <v>0</v>
      </c>
      <c r="P187" s="13">
        <f t="shared" si="25"/>
        <v>26504.763865117842</v>
      </c>
      <c r="Q187">
        <v>14</v>
      </c>
      <c r="R187" s="47">
        <f t="shared" si="26"/>
        <v>40.176000000000002</v>
      </c>
      <c r="S187" t="s">
        <v>346</v>
      </c>
    </row>
    <row r="188" spans="1:19" ht="13.5" customHeight="1" x14ac:dyDescent="0.15">
      <c r="A188">
        <v>8</v>
      </c>
      <c r="B188" t="s">
        <v>313</v>
      </c>
      <c r="C188">
        <v>31</v>
      </c>
      <c r="D188" s="47">
        <f t="shared" si="24"/>
        <v>883.34591186012744</v>
      </c>
      <c r="E188">
        <v>-14</v>
      </c>
      <c r="F188">
        <v>3</v>
      </c>
      <c r="G188">
        <v>12</v>
      </c>
      <c r="H188">
        <v>11</v>
      </c>
      <c r="I188">
        <v>11</v>
      </c>
      <c r="J188">
        <v>6</v>
      </c>
      <c r="K188">
        <v>9</v>
      </c>
      <c r="L188">
        <v>14</v>
      </c>
      <c r="M188">
        <v>10</v>
      </c>
      <c r="N188">
        <v>0.22</v>
      </c>
      <c r="O188">
        <v>0.25</v>
      </c>
      <c r="P188" s="13">
        <f t="shared" si="25"/>
        <v>91055.18669524866</v>
      </c>
      <c r="Q188">
        <v>15</v>
      </c>
      <c r="R188" s="47">
        <f t="shared" si="26"/>
        <v>86.13000000000001</v>
      </c>
      <c r="S188" t="s">
        <v>220</v>
      </c>
    </row>
    <row r="189" spans="1:19" x14ac:dyDescent="0.15">
      <c r="A189">
        <v>8</v>
      </c>
      <c r="B189" t="s">
        <v>314</v>
      </c>
      <c r="C189">
        <v>31</v>
      </c>
      <c r="D189" s="47">
        <f t="shared" si="24"/>
        <v>927.51320745313387</v>
      </c>
      <c r="E189">
        <v>-14</v>
      </c>
      <c r="F189">
        <v>3</v>
      </c>
      <c r="G189">
        <v>11</v>
      </c>
      <c r="H189">
        <v>12</v>
      </c>
      <c r="I189">
        <v>11</v>
      </c>
      <c r="J189">
        <v>7</v>
      </c>
      <c r="K189">
        <v>8</v>
      </c>
      <c r="L189">
        <v>13</v>
      </c>
      <c r="M189">
        <v>11</v>
      </c>
      <c r="N189">
        <v>0.22</v>
      </c>
      <c r="O189">
        <v>0</v>
      </c>
      <c r="P189" s="13">
        <f t="shared" si="25"/>
        <v>85769.666915535796</v>
      </c>
      <c r="Q189">
        <v>15</v>
      </c>
      <c r="R189" s="47">
        <f t="shared" si="26"/>
        <v>78.952500000000001</v>
      </c>
      <c r="S189" t="s">
        <v>220</v>
      </c>
    </row>
    <row r="190" spans="1:19" ht="13.5" customHeight="1" x14ac:dyDescent="0.15">
      <c r="A190">
        <v>8</v>
      </c>
      <c r="B190" t="s">
        <v>315</v>
      </c>
      <c r="C190">
        <v>31</v>
      </c>
      <c r="D190" s="47">
        <f t="shared" si="24"/>
        <v>883.34591186012744</v>
      </c>
      <c r="E190">
        <v>-14</v>
      </c>
      <c r="F190">
        <v>3</v>
      </c>
      <c r="G190">
        <v>12</v>
      </c>
      <c r="H190">
        <v>11</v>
      </c>
      <c r="I190">
        <v>12</v>
      </c>
      <c r="J190">
        <v>6</v>
      </c>
      <c r="K190">
        <v>8</v>
      </c>
      <c r="L190">
        <v>15</v>
      </c>
      <c r="M190">
        <v>9</v>
      </c>
      <c r="N190">
        <v>0.22</v>
      </c>
      <c r="O190">
        <v>0</v>
      </c>
      <c r="P190" s="13">
        <f t="shared" si="25"/>
        <v>85698.999242586971</v>
      </c>
      <c r="Q190">
        <v>15</v>
      </c>
      <c r="R190" s="47">
        <f t="shared" si="26"/>
        <v>86.13000000000001</v>
      </c>
      <c r="S190" t="s">
        <v>220</v>
      </c>
    </row>
    <row r="191" spans="1:19" ht="13.5" customHeight="1" x14ac:dyDescent="0.15">
      <c r="A191" s="12" t="s">
        <v>197</v>
      </c>
      <c r="B191" s="51" t="s">
        <v>670</v>
      </c>
      <c r="C191" s="51" t="s">
        <v>181</v>
      </c>
      <c r="D191" s="51" t="s">
        <v>198</v>
      </c>
      <c r="E191" s="51" t="s">
        <v>199</v>
      </c>
      <c r="F191" s="51" t="s">
        <v>200</v>
      </c>
      <c r="G191" s="51" t="s">
        <v>0</v>
      </c>
      <c r="H191" s="51" t="s">
        <v>1</v>
      </c>
      <c r="I191" s="51" t="s">
        <v>82</v>
      </c>
      <c r="J191" s="51" t="s">
        <v>2</v>
      </c>
      <c r="K191" s="51" t="s">
        <v>3</v>
      </c>
      <c r="L191" s="51" t="s">
        <v>442</v>
      </c>
      <c r="M191" s="51" t="s">
        <v>443</v>
      </c>
      <c r="N191" s="51" t="s">
        <v>201</v>
      </c>
      <c r="O191" s="51" t="s">
        <v>391</v>
      </c>
      <c r="P191" s="51" t="s">
        <v>183</v>
      </c>
      <c r="Q191" s="51" t="s">
        <v>182</v>
      </c>
      <c r="R191" s="51" t="s">
        <v>668</v>
      </c>
      <c r="S191" s="52" t="s">
        <v>669</v>
      </c>
    </row>
    <row r="192" spans="1:19" ht="13.5" customHeight="1" x14ac:dyDescent="0.15">
      <c r="A192">
        <v>9</v>
      </c>
      <c r="B192" t="s">
        <v>432</v>
      </c>
      <c r="C192">
        <v>20</v>
      </c>
      <c r="D192" s="47">
        <f t="shared" ref="D192:D217" si="27">(C192+3)*(H192+9)*0.25*F192^1.5</f>
        <v>94.291584990390305</v>
      </c>
      <c r="E192">
        <v>-23</v>
      </c>
      <c r="F192">
        <v>0.7</v>
      </c>
      <c r="G192">
        <v>5</v>
      </c>
      <c r="H192">
        <v>19</v>
      </c>
      <c r="I192">
        <v>5</v>
      </c>
      <c r="J192">
        <v>13</v>
      </c>
      <c r="K192">
        <v>9</v>
      </c>
      <c r="L192">
        <v>0</v>
      </c>
      <c r="M192">
        <v>6</v>
      </c>
      <c r="N192">
        <v>0.16</v>
      </c>
      <c r="O192">
        <v>0</v>
      </c>
      <c r="P192" s="13">
        <f t="shared" ref="P192:P223" si="28">(((C192+1.8)^1.4*(F192^1.25)*(-0.25*(E192-10)+G192+H192+I192+J192+K192+L192+M192))^(1+N192*0.4)+N192*200+D192*2)*(1+O192*0.25)*0.8</f>
        <v>4360.0538953970718</v>
      </c>
      <c r="Q192">
        <v>15</v>
      </c>
      <c r="R192" s="47">
        <f t="shared" ref="R192:R217" si="29">(G192)*(F192+2)*(C192*0.9+4)*0.045</f>
        <v>13.365</v>
      </c>
      <c r="S192" t="s">
        <v>205</v>
      </c>
    </row>
    <row r="193" spans="1:19" x14ac:dyDescent="0.15">
      <c r="A193">
        <v>9</v>
      </c>
      <c r="B193" t="s">
        <v>316</v>
      </c>
      <c r="C193">
        <v>20</v>
      </c>
      <c r="D193" s="47">
        <f t="shared" si="27"/>
        <v>47.145792495195153</v>
      </c>
      <c r="E193">
        <v>-23</v>
      </c>
      <c r="F193">
        <v>0.7</v>
      </c>
      <c r="G193">
        <v>5</v>
      </c>
      <c r="H193">
        <v>5</v>
      </c>
      <c r="I193">
        <v>5</v>
      </c>
      <c r="J193">
        <v>13</v>
      </c>
      <c r="K193">
        <v>9</v>
      </c>
      <c r="L193">
        <v>0</v>
      </c>
      <c r="M193">
        <v>6</v>
      </c>
      <c r="N193">
        <v>0.16</v>
      </c>
      <c r="O193">
        <v>0</v>
      </c>
      <c r="P193" s="13">
        <f t="shared" si="28"/>
        <v>3336.59321371852</v>
      </c>
      <c r="Q193">
        <v>12</v>
      </c>
      <c r="R193" s="47">
        <f t="shared" si="29"/>
        <v>13.365</v>
      </c>
      <c r="S193" t="s">
        <v>205</v>
      </c>
    </row>
    <row r="194" spans="1:19" x14ac:dyDescent="0.15">
      <c r="A194">
        <v>9</v>
      </c>
      <c r="B194" t="s">
        <v>425</v>
      </c>
      <c r="C194">
        <v>21</v>
      </c>
      <c r="D194" s="47">
        <f t="shared" si="27"/>
        <v>138</v>
      </c>
      <c r="E194">
        <v>10</v>
      </c>
      <c r="F194">
        <v>1</v>
      </c>
      <c r="G194">
        <v>12</v>
      </c>
      <c r="H194">
        <v>14</v>
      </c>
      <c r="I194">
        <v>2</v>
      </c>
      <c r="J194">
        <v>2</v>
      </c>
      <c r="K194">
        <v>5</v>
      </c>
      <c r="L194">
        <v>0</v>
      </c>
      <c r="M194">
        <v>0</v>
      </c>
      <c r="N194">
        <v>0.20499999999999999</v>
      </c>
      <c r="O194">
        <v>0</v>
      </c>
      <c r="P194" s="13">
        <f t="shared" si="28"/>
        <v>4526.9780723060712</v>
      </c>
      <c r="Q194">
        <v>12</v>
      </c>
      <c r="R194" s="47">
        <f t="shared" si="29"/>
        <v>37.098000000000006</v>
      </c>
      <c r="S194" t="s">
        <v>429</v>
      </c>
    </row>
    <row r="195" spans="1:19" x14ac:dyDescent="0.15">
      <c r="A195">
        <v>9</v>
      </c>
      <c r="B195" t="s">
        <v>306</v>
      </c>
      <c r="C195">
        <v>25</v>
      </c>
      <c r="D195" s="47">
        <f t="shared" si="27"/>
        <v>140</v>
      </c>
      <c r="E195">
        <v>-15</v>
      </c>
      <c r="F195">
        <v>1</v>
      </c>
      <c r="G195">
        <v>10</v>
      </c>
      <c r="H195">
        <v>11</v>
      </c>
      <c r="I195">
        <v>6</v>
      </c>
      <c r="J195">
        <v>7</v>
      </c>
      <c r="K195">
        <v>7</v>
      </c>
      <c r="L195">
        <v>9</v>
      </c>
      <c r="M195">
        <v>0</v>
      </c>
      <c r="N195">
        <v>0.12</v>
      </c>
      <c r="O195">
        <v>0</v>
      </c>
      <c r="P195" s="13">
        <f t="shared" si="28"/>
        <v>7044.2781434724038</v>
      </c>
      <c r="Q195">
        <v>13</v>
      </c>
      <c r="R195" s="47">
        <f t="shared" si="29"/>
        <v>35.774999999999999</v>
      </c>
      <c r="S195" t="s">
        <v>431</v>
      </c>
    </row>
    <row r="196" spans="1:19" x14ac:dyDescent="0.15">
      <c r="A196">
        <v>9</v>
      </c>
      <c r="B196" t="s">
        <v>307</v>
      </c>
      <c r="C196">
        <v>25</v>
      </c>
      <c r="D196" s="47">
        <f t="shared" si="27"/>
        <v>101.60398122121003</v>
      </c>
      <c r="E196">
        <v>-19</v>
      </c>
      <c r="F196">
        <v>0.9</v>
      </c>
      <c r="G196">
        <v>7</v>
      </c>
      <c r="H196">
        <v>8</v>
      </c>
      <c r="I196">
        <v>7</v>
      </c>
      <c r="J196">
        <v>10</v>
      </c>
      <c r="K196">
        <v>10</v>
      </c>
      <c r="L196">
        <v>2</v>
      </c>
      <c r="M196">
        <v>0</v>
      </c>
      <c r="N196">
        <v>0.17</v>
      </c>
      <c r="O196">
        <v>0</v>
      </c>
      <c r="P196" s="13">
        <f t="shared" si="28"/>
        <v>6547.5235058004118</v>
      </c>
      <c r="Q196" s="1" t="s">
        <v>691</v>
      </c>
      <c r="R196" s="47">
        <f t="shared" si="29"/>
        <v>24.207750000000001</v>
      </c>
      <c r="S196" t="s">
        <v>308</v>
      </c>
    </row>
    <row r="197" spans="1:19" x14ac:dyDescent="0.15">
      <c r="A197">
        <v>9</v>
      </c>
      <c r="B197" t="s">
        <v>309</v>
      </c>
      <c r="C197">
        <v>25</v>
      </c>
      <c r="D197" s="47">
        <f t="shared" si="27"/>
        <v>89.650571665773555</v>
      </c>
      <c r="E197">
        <v>-15</v>
      </c>
      <c r="F197">
        <v>0.9</v>
      </c>
      <c r="G197">
        <v>6</v>
      </c>
      <c r="H197">
        <v>6</v>
      </c>
      <c r="I197">
        <v>9</v>
      </c>
      <c r="J197">
        <v>8</v>
      </c>
      <c r="K197">
        <v>9</v>
      </c>
      <c r="L197">
        <v>0</v>
      </c>
      <c r="M197">
        <v>9</v>
      </c>
      <c r="N197">
        <v>0.21</v>
      </c>
      <c r="O197">
        <v>0</v>
      </c>
      <c r="P197" s="13">
        <f t="shared" si="28"/>
        <v>7758.5631011918013</v>
      </c>
      <c r="Q197" s="1" t="s">
        <v>691</v>
      </c>
      <c r="R197" s="47">
        <f t="shared" si="29"/>
        <v>20.749499999999998</v>
      </c>
      <c r="S197" t="s">
        <v>318</v>
      </c>
    </row>
    <row r="198" spans="1:19" x14ac:dyDescent="0.15">
      <c r="A198">
        <v>9</v>
      </c>
      <c r="B198" t="s">
        <v>392</v>
      </c>
      <c r="C198">
        <v>25</v>
      </c>
      <c r="D198" s="47">
        <f t="shared" si="27"/>
        <v>83.673866888055315</v>
      </c>
      <c r="E198">
        <v>-10</v>
      </c>
      <c r="F198">
        <v>0.9</v>
      </c>
      <c r="G198">
        <v>6</v>
      </c>
      <c r="H198">
        <v>5</v>
      </c>
      <c r="I198">
        <v>10</v>
      </c>
      <c r="J198">
        <v>8</v>
      </c>
      <c r="K198">
        <v>9</v>
      </c>
      <c r="L198">
        <v>0</v>
      </c>
      <c r="M198">
        <v>12</v>
      </c>
      <c r="N198">
        <v>0.21</v>
      </c>
      <c r="O198">
        <v>0</v>
      </c>
      <c r="P198" s="13">
        <f t="shared" si="28"/>
        <v>8019.4567656994977</v>
      </c>
      <c r="Q198" s="1" t="s">
        <v>691</v>
      </c>
      <c r="R198" s="47">
        <f t="shared" si="29"/>
        <v>20.749499999999998</v>
      </c>
      <c r="S198" t="s">
        <v>318</v>
      </c>
    </row>
    <row r="199" spans="1:19" x14ac:dyDescent="0.15">
      <c r="A199">
        <v>9</v>
      </c>
      <c r="B199" t="s">
        <v>319</v>
      </c>
      <c r="C199">
        <v>23</v>
      </c>
      <c r="D199" s="47">
        <f t="shared" si="27"/>
        <v>205.06732552993421</v>
      </c>
      <c r="E199">
        <v>-8</v>
      </c>
      <c r="F199">
        <v>1.2</v>
      </c>
      <c r="G199">
        <v>13</v>
      </c>
      <c r="H199">
        <v>15</v>
      </c>
      <c r="I199">
        <v>3</v>
      </c>
      <c r="J199">
        <v>4</v>
      </c>
      <c r="K199">
        <v>5</v>
      </c>
      <c r="L199">
        <v>11</v>
      </c>
      <c r="M199">
        <v>5</v>
      </c>
      <c r="N199">
        <v>7.4999999999999997E-2</v>
      </c>
      <c r="O199">
        <v>0</v>
      </c>
      <c r="P199" s="13">
        <f t="shared" si="28"/>
        <v>7436.5912795473187</v>
      </c>
      <c r="Q199">
        <v>13</v>
      </c>
      <c r="R199" s="47">
        <f t="shared" si="29"/>
        <v>46.238399999999999</v>
      </c>
      <c r="S199" t="s">
        <v>235</v>
      </c>
    </row>
    <row r="200" spans="1:19" x14ac:dyDescent="0.15">
      <c r="A200">
        <v>9</v>
      </c>
      <c r="B200" t="s">
        <v>317</v>
      </c>
      <c r="C200">
        <v>24</v>
      </c>
      <c r="D200" s="47">
        <f t="shared" si="27"/>
        <v>201.26503422104892</v>
      </c>
      <c r="E200">
        <v>-16</v>
      </c>
      <c r="F200">
        <v>1.4</v>
      </c>
      <c r="G200">
        <v>9</v>
      </c>
      <c r="H200">
        <v>9</v>
      </c>
      <c r="I200">
        <v>10</v>
      </c>
      <c r="J200">
        <v>8</v>
      </c>
      <c r="K200">
        <v>9</v>
      </c>
      <c r="L200">
        <v>0</v>
      </c>
      <c r="M200">
        <v>6</v>
      </c>
      <c r="N200">
        <v>0.25</v>
      </c>
      <c r="O200">
        <v>0</v>
      </c>
      <c r="P200" s="13">
        <f t="shared" si="28"/>
        <v>16713.050178071804</v>
      </c>
      <c r="Q200">
        <v>13</v>
      </c>
      <c r="R200" s="47">
        <f t="shared" si="29"/>
        <v>35.251199999999997</v>
      </c>
      <c r="S200" t="s">
        <v>430</v>
      </c>
    </row>
    <row r="201" spans="1:19" x14ac:dyDescent="0.15">
      <c r="A201">
        <v>9</v>
      </c>
      <c r="B201" t="s">
        <v>423</v>
      </c>
      <c r="C201">
        <v>22</v>
      </c>
      <c r="D201" s="47">
        <f t="shared" si="27"/>
        <v>80.045153273012104</v>
      </c>
      <c r="E201">
        <v>-17</v>
      </c>
      <c r="F201">
        <v>0.9</v>
      </c>
      <c r="G201">
        <v>9</v>
      </c>
      <c r="H201">
        <v>6</v>
      </c>
      <c r="I201">
        <v>9</v>
      </c>
      <c r="J201">
        <v>10</v>
      </c>
      <c r="K201">
        <v>8</v>
      </c>
      <c r="L201">
        <v>3</v>
      </c>
      <c r="M201">
        <v>9</v>
      </c>
      <c r="N201">
        <v>0.2</v>
      </c>
      <c r="O201">
        <v>0</v>
      </c>
      <c r="P201" s="13">
        <f t="shared" si="28"/>
        <v>7222.1373772472016</v>
      </c>
      <c r="Q201" s="1" t="s">
        <v>691</v>
      </c>
      <c r="R201" s="47">
        <f t="shared" si="29"/>
        <v>27.953099999999996</v>
      </c>
      <c r="S201" t="s">
        <v>417</v>
      </c>
    </row>
    <row r="202" spans="1:19" x14ac:dyDescent="0.15">
      <c r="A202">
        <v>9</v>
      </c>
      <c r="B202" t="s">
        <v>424</v>
      </c>
      <c r="C202">
        <v>28</v>
      </c>
      <c r="D202" s="47">
        <f t="shared" si="27"/>
        <v>270.51552346861723</v>
      </c>
      <c r="E202">
        <v>-21</v>
      </c>
      <c r="F202">
        <v>1.5</v>
      </c>
      <c r="G202">
        <v>11</v>
      </c>
      <c r="H202">
        <v>10</v>
      </c>
      <c r="I202">
        <v>11</v>
      </c>
      <c r="J202">
        <v>10</v>
      </c>
      <c r="K202">
        <v>10</v>
      </c>
      <c r="L202">
        <v>4</v>
      </c>
      <c r="M202">
        <v>13</v>
      </c>
      <c r="N202">
        <v>0.32500000000000001</v>
      </c>
      <c r="O202">
        <v>0</v>
      </c>
      <c r="P202" s="13">
        <f t="shared" si="28"/>
        <v>41615.666279877005</v>
      </c>
      <c r="Q202">
        <v>14</v>
      </c>
      <c r="R202" s="47">
        <f t="shared" si="29"/>
        <v>50.588999999999999</v>
      </c>
      <c r="S202" t="s">
        <v>550</v>
      </c>
    </row>
    <row r="203" spans="1:19" x14ac:dyDescent="0.15">
      <c r="A203">
        <v>9</v>
      </c>
      <c r="B203" t="s">
        <v>320</v>
      </c>
      <c r="C203">
        <v>26</v>
      </c>
      <c r="D203" s="47">
        <f t="shared" si="27"/>
        <v>367.67665754029042</v>
      </c>
      <c r="E203">
        <v>-13</v>
      </c>
      <c r="F203">
        <v>1.8</v>
      </c>
      <c r="G203">
        <v>11</v>
      </c>
      <c r="H203">
        <v>12</v>
      </c>
      <c r="I203">
        <v>7</v>
      </c>
      <c r="J203">
        <v>7</v>
      </c>
      <c r="K203">
        <v>7</v>
      </c>
      <c r="L203">
        <v>9</v>
      </c>
      <c r="M203">
        <v>2</v>
      </c>
      <c r="N203">
        <v>0.22</v>
      </c>
      <c r="O203">
        <v>0</v>
      </c>
      <c r="P203" s="13">
        <f t="shared" si="28"/>
        <v>25189.116941598466</v>
      </c>
      <c r="Q203">
        <v>13</v>
      </c>
      <c r="R203" s="47">
        <f t="shared" si="29"/>
        <v>51.539399999999993</v>
      </c>
      <c r="S203" t="s">
        <v>220</v>
      </c>
    </row>
    <row r="204" spans="1:19" x14ac:dyDescent="0.15">
      <c r="A204">
        <v>9</v>
      </c>
      <c r="B204" t="s">
        <v>321</v>
      </c>
      <c r="C204">
        <v>27</v>
      </c>
      <c r="D204" s="47">
        <f t="shared" si="27"/>
        <v>223.62781580116547</v>
      </c>
      <c r="E204">
        <v>-20</v>
      </c>
      <c r="F204">
        <v>1.4</v>
      </c>
      <c r="G204">
        <v>10</v>
      </c>
      <c r="H204">
        <v>9</v>
      </c>
      <c r="I204">
        <v>7</v>
      </c>
      <c r="J204">
        <v>10</v>
      </c>
      <c r="K204">
        <v>8</v>
      </c>
      <c r="L204">
        <v>0</v>
      </c>
      <c r="M204">
        <v>0</v>
      </c>
      <c r="N204">
        <v>0.26</v>
      </c>
      <c r="O204">
        <v>1</v>
      </c>
      <c r="P204" s="13">
        <f t="shared" si="28"/>
        <v>22738.954330718421</v>
      </c>
      <c r="Q204">
        <v>14</v>
      </c>
      <c r="R204" s="47">
        <f t="shared" si="29"/>
        <v>43.298999999999999</v>
      </c>
      <c r="S204" t="s">
        <v>322</v>
      </c>
    </row>
    <row r="205" spans="1:19" x14ac:dyDescent="0.15">
      <c r="A205">
        <v>9</v>
      </c>
      <c r="B205" t="s">
        <v>323</v>
      </c>
      <c r="C205">
        <v>31</v>
      </c>
      <c r="D205" s="47">
        <f t="shared" si="27"/>
        <v>610.20481151823128</v>
      </c>
      <c r="E205">
        <v>-13</v>
      </c>
      <c r="F205">
        <v>2.2000000000000002</v>
      </c>
      <c r="G205">
        <v>15</v>
      </c>
      <c r="H205">
        <v>13</v>
      </c>
      <c r="I205">
        <v>8</v>
      </c>
      <c r="J205">
        <v>6</v>
      </c>
      <c r="K205">
        <v>6</v>
      </c>
      <c r="L205">
        <v>4</v>
      </c>
      <c r="M205">
        <v>0</v>
      </c>
      <c r="N205">
        <v>0</v>
      </c>
      <c r="O205">
        <v>2.5</v>
      </c>
      <c r="P205" s="13">
        <f t="shared" si="28"/>
        <v>28239.592272862836</v>
      </c>
      <c r="Q205">
        <v>14</v>
      </c>
      <c r="R205" s="47">
        <f t="shared" si="29"/>
        <v>90.436499999999995</v>
      </c>
    </row>
    <row r="206" spans="1:19" x14ac:dyDescent="0.15">
      <c r="A206">
        <v>9</v>
      </c>
      <c r="B206" t="s">
        <v>500</v>
      </c>
      <c r="C206">
        <v>32</v>
      </c>
      <c r="D206" s="47">
        <f t="shared" si="27"/>
        <v>732.50576789537968</v>
      </c>
      <c r="E206">
        <v>-10</v>
      </c>
      <c r="F206">
        <v>2.2999999999999998</v>
      </c>
      <c r="G206">
        <v>13</v>
      </c>
      <c r="H206">
        <v>15</v>
      </c>
      <c r="I206">
        <v>3</v>
      </c>
      <c r="J206">
        <v>5</v>
      </c>
      <c r="K206">
        <v>7</v>
      </c>
      <c r="L206">
        <v>18</v>
      </c>
      <c r="M206">
        <v>8</v>
      </c>
      <c r="N206">
        <v>0.05</v>
      </c>
      <c r="O206">
        <v>2.5</v>
      </c>
      <c r="P206" s="13">
        <f t="shared" si="28"/>
        <v>48161.552566881874</v>
      </c>
      <c r="Q206">
        <v>15</v>
      </c>
      <c r="R206" s="47">
        <f t="shared" si="29"/>
        <v>82.50839999999998</v>
      </c>
      <c r="S206" t="s">
        <v>235</v>
      </c>
    </row>
    <row r="207" spans="1:19" x14ac:dyDescent="0.15">
      <c r="A207">
        <v>9</v>
      </c>
      <c r="B207" t="s">
        <v>304</v>
      </c>
      <c r="C207">
        <v>28</v>
      </c>
      <c r="D207" s="47">
        <f t="shared" si="27"/>
        <v>147.25</v>
      </c>
      <c r="E207">
        <v>-19</v>
      </c>
      <c r="F207">
        <v>1</v>
      </c>
      <c r="G207">
        <v>8</v>
      </c>
      <c r="H207">
        <v>10</v>
      </c>
      <c r="I207">
        <v>9</v>
      </c>
      <c r="J207">
        <v>8</v>
      </c>
      <c r="K207">
        <v>9</v>
      </c>
      <c r="L207">
        <v>0</v>
      </c>
      <c r="M207">
        <v>5</v>
      </c>
      <c r="N207">
        <v>8.5000000000000006E-2</v>
      </c>
      <c r="O207">
        <v>0</v>
      </c>
      <c r="P207" s="13">
        <f t="shared" si="28"/>
        <v>7276.5590496763025</v>
      </c>
      <c r="Q207">
        <v>14</v>
      </c>
      <c r="R207" s="47">
        <f t="shared" si="29"/>
        <v>31.535999999999998</v>
      </c>
      <c r="S207" t="s">
        <v>433</v>
      </c>
    </row>
    <row r="208" spans="1:19" x14ac:dyDescent="0.15">
      <c r="A208">
        <v>9</v>
      </c>
      <c r="B208" t="s">
        <v>324</v>
      </c>
      <c r="C208">
        <v>33</v>
      </c>
      <c r="D208" s="47">
        <f t="shared" si="27"/>
        <v>197.28094434080555</v>
      </c>
      <c r="E208">
        <v>-24</v>
      </c>
      <c r="F208">
        <v>1.1000000000000001</v>
      </c>
      <c r="G208">
        <v>8</v>
      </c>
      <c r="H208">
        <v>10</v>
      </c>
      <c r="I208">
        <v>10</v>
      </c>
      <c r="J208">
        <v>9</v>
      </c>
      <c r="K208">
        <v>9</v>
      </c>
      <c r="L208">
        <v>1</v>
      </c>
      <c r="M208">
        <v>7</v>
      </c>
      <c r="N208">
        <v>0.28499999999999998</v>
      </c>
      <c r="O208">
        <v>0</v>
      </c>
      <c r="P208" s="13">
        <f t="shared" si="28"/>
        <v>23566.519688838427</v>
      </c>
      <c r="Q208">
        <v>15</v>
      </c>
      <c r="R208" s="47">
        <f t="shared" si="29"/>
        <v>37.609200000000001</v>
      </c>
      <c r="S208" t="s">
        <v>587</v>
      </c>
    </row>
    <row r="209" spans="1:19" x14ac:dyDescent="0.15">
      <c r="A209">
        <v>9</v>
      </c>
      <c r="B209" t="s">
        <v>578</v>
      </c>
      <c r="C209">
        <v>27</v>
      </c>
      <c r="D209" s="47">
        <f t="shared" si="27"/>
        <v>164.40078695067129</v>
      </c>
      <c r="E209">
        <v>-17</v>
      </c>
      <c r="F209">
        <v>1.1000000000000001</v>
      </c>
      <c r="G209">
        <v>9</v>
      </c>
      <c r="H209">
        <v>10</v>
      </c>
      <c r="I209">
        <v>8</v>
      </c>
      <c r="J209">
        <v>8</v>
      </c>
      <c r="K209">
        <v>8</v>
      </c>
      <c r="L209">
        <v>8</v>
      </c>
      <c r="M209">
        <v>14</v>
      </c>
      <c r="N209">
        <v>0.1</v>
      </c>
      <c r="O209">
        <v>0</v>
      </c>
      <c r="P209" s="13">
        <f t="shared" si="28"/>
        <v>10555.198038223411</v>
      </c>
      <c r="Q209">
        <v>14</v>
      </c>
      <c r="R209" s="47">
        <f t="shared" si="29"/>
        <v>35.530650000000001</v>
      </c>
      <c r="S209" t="s">
        <v>428</v>
      </c>
    </row>
    <row r="210" spans="1:19" x14ac:dyDescent="0.15">
      <c r="A210">
        <v>9</v>
      </c>
      <c r="B210" t="s">
        <v>577</v>
      </c>
      <c r="C210">
        <v>27</v>
      </c>
      <c r="D210" s="47">
        <f t="shared" si="27"/>
        <v>127.5</v>
      </c>
      <c r="E210">
        <v>-12</v>
      </c>
      <c r="F210">
        <v>1</v>
      </c>
      <c r="G210">
        <v>7</v>
      </c>
      <c r="H210">
        <v>8</v>
      </c>
      <c r="I210">
        <v>11</v>
      </c>
      <c r="J210">
        <v>8</v>
      </c>
      <c r="K210">
        <v>9</v>
      </c>
      <c r="L210">
        <v>4</v>
      </c>
      <c r="M210">
        <v>19</v>
      </c>
      <c r="N210">
        <v>0.21</v>
      </c>
      <c r="O210">
        <v>0</v>
      </c>
      <c r="P210" s="13">
        <f t="shared" si="28"/>
        <v>13663.140398138235</v>
      </c>
      <c r="Q210" s="1" t="s">
        <v>691</v>
      </c>
      <c r="R210" s="47">
        <f t="shared" si="29"/>
        <v>26.743500000000001</v>
      </c>
      <c r="S210" t="s">
        <v>580</v>
      </c>
    </row>
    <row r="211" spans="1:19" x14ac:dyDescent="0.15">
      <c r="A211">
        <v>9</v>
      </c>
      <c r="B211" t="s">
        <v>356</v>
      </c>
      <c r="C211">
        <v>30</v>
      </c>
      <c r="D211" s="47">
        <f t="shared" si="27"/>
        <v>206.0532261334435</v>
      </c>
      <c r="E211">
        <v>-18</v>
      </c>
      <c r="F211">
        <v>1.2</v>
      </c>
      <c r="G211">
        <v>9</v>
      </c>
      <c r="H211">
        <v>10</v>
      </c>
      <c r="I211">
        <v>9</v>
      </c>
      <c r="J211">
        <v>8</v>
      </c>
      <c r="K211">
        <v>8</v>
      </c>
      <c r="L211">
        <v>9</v>
      </c>
      <c r="M211">
        <v>17</v>
      </c>
      <c r="N211">
        <v>0.26</v>
      </c>
      <c r="O211">
        <v>0</v>
      </c>
      <c r="P211" s="13">
        <f t="shared" si="28"/>
        <v>26504.763865117842</v>
      </c>
      <c r="Q211" s="1" t="s">
        <v>691</v>
      </c>
      <c r="R211" s="47">
        <f t="shared" si="29"/>
        <v>40.176000000000002</v>
      </c>
      <c r="S211" t="s">
        <v>346</v>
      </c>
    </row>
    <row r="212" spans="1:19" x14ac:dyDescent="0.15">
      <c r="A212">
        <v>9</v>
      </c>
      <c r="B212" t="s">
        <v>325</v>
      </c>
      <c r="C212">
        <v>34</v>
      </c>
      <c r="D212" s="47">
        <f t="shared" si="27"/>
        <v>260.50158024952555</v>
      </c>
      <c r="E212">
        <v>-23</v>
      </c>
      <c r="F212">
        <v>1.3</v>
      </c>
      <c r="G212">
        <v>10</v>
      </c>
      <c r="H212">
        <v>10</v>
      </c>
      <c r="I212">
        <v>10</v>
      </c>
      <c r="J212">
        <v>8</v>
      </c>
      <c r="K212">
        <v>9</v>
      </c>
      <c r="L212">
        <v>10</v>
      </c>
      <c r="M212">
        <v>20</v>
      </c>
      <c r="N212">
        <v>0.27</v>
      </c>
      <c r="O212">
        <v>0</v>
      </c>
      <c r="P212" s="13">
        <f t="shared" si="28"/>
        <v>41244.419886219694</v>
      </c>
      <c r="Q212">
        <v>16</v>
      </c>
      <c r="R212" s="47">
        <f t="shared" si="29"/>
        <v>51.380999999999993</v>
      </c>
      <c r="S212" t="s">
        <v>347</v>
      </c>
    </row>
    <row r="213" spans="1:19" x14ac:dyDescent="0.15">
      <c r="A213">
        <v>9</v>
      </c>
      <c r="B213" t="s">
        <v>326</v>
      </c>
      <c r="C213">
        <v>35</v>
      </c>
      <c r="D213" s="47">
        <f t="shared" si="27"/>
        <v>1087.6234642558975</v>
      </c>
      <c r="E213">
        <v>-18</v>
      </c>
      <c r="F213">
        <v>3.2</v>
      </c>
      <c r="G213">
        <v>13</v>
      </c>
      <c r="H213">
        <v>11</v>
      </c>
      <c r="I213">
        <v>11</v>
      </c>
      <c r="J213">
        <v>6</v>
      </c>
      <c r="K213">
        <v>9</v>
      </c>
      <c r="L213">
        <v>15</v>
      </c>
      <c r="M213">
        <v>11</v>
      </c>
      <c r="N213">
        <v>0.24</v>
      </c>
      <c r="O213">
        <v>0.25</v>
      </c>
      <c r="P213" s="13">
        <f t="shared" si="28"/>
        <v>135987.32069244949</v>
      </c>
      <c r="Q213">
        <v>16</v>
      </c>
      <c r="R213" s="47">
        <f t="shared" si="29"/>
        <v>107.991</v>
      </c>
      <c r="S213" t="s">
        <v>561</v>
      </c>
    </row>
    <row r="214" spans="1:19" x14ac:dyDescent="0.15">
      <c r="A214">
        <v>9</v>
      </c>
      <c r="B214" t="s">
        <v>327</v>
      </c>
      <c r="C214">
        <v>35</v>
      </c>
      <c r="D214" s="47">
        <f t="shared" si="27"/>
        <v>1196.3858106814873</v>
      </c>
      <c r="E214">
        <v>-18</v>
      </c>
      <c r="F214">
        <v>3.2</v>
      </c>
      <c r="G214">
        <v>11</v>
      </c>
      <c r="H214">
        <v>13</v>
      </c>
      <c r="I214">
        <v>11</v>
      </c>
      <c r="J214">
        <v>7</v>
      </c>
      <c r="K214">
        <v>8</v>
      </c>
      <c r="L214">
        <v>14</v>
      </c>
      <c r="M214">
        <v>12</v>
      </c>
      <c r="N214">
        <v>0.24</v>
      </c>
      <c r="O214">
        <v>0</v>
      </c>
      <c r="P214" s="13">
        <f t="shared" si="28"/>
        <v>128162.08628835106</v>
      </c>
      <c r="Q214">
        <v>16</v>
      </c>
      <c r="R214" s="47">
        <f t="shared" si="29"/>
        <v>91.37700000000001</v>
      </c>
      <c r="S214" t="s">
        <v>561</v>
      </c>
    </row>
    <row r="215" spans="1:19" x14ac:dyDescent="0.15">
      <c r="A215">
        <v>9</v>
      </c>
      <c r="B215" t="s">
        <v>338</v>
      </c>
      <c r="C215">
        <v>35</v>
      </c>
      <c r="D215" s="47">
        <f t="shared" si="27"/>
        <v>1142.0046374686924</v>
      </c>
      <c r="E215">
        <v>-18</v>
      </c>
      <c r="F215">
        <v>3.2</v>
      </c>
      <c r="G215">
        <v>12</v>
      </c>
      <c r="H215">
        <v>12</v>
      </c>
      <c r="I215">
        <v>12</v>
      </c>
      <c r="J215">
        <v>6</v>
      </c>
      <c r="K215">
        <v>8</v>
      </c>
      <c r="L215">
        <v>16</v>
      </c>
      <c r="M215">
        <v>10</v>
      </c>
      <c r="N215">
        <v>0.24</v>
      </c>
      <c r="O215">
        <v>0</v>
      </c>
      <c r="P215" s="13">
        <f t="shared" si="28"/>
        <v>128075.07641121058</v>
      </c>
      <c r="Q215">
        <v>16</v>
      </c>
      <c r="R215" s="47">
        <f t="shared" si="29"/>
        <v>99.684000000000012</v>
      </c>
      <c r="S215" t="s">
        <v>561</v>
      </c>
    </row>
    <row r="216" spans="1:19" x14ac:dyDescent="0.15">
      <c r="A216">
        <v>9</v>
      </c>
      <c r="B216" t="s">
        <v>400</v>
      </c>
      <c r="C216">
        <v>30</v>
      </c>
      <c r="D216" s="47">
        <f t="shared" si="27"/>
        <v>592.25761117945979</v>
      </c>
      <c r="E216">
        <v>-22</v>
      </c>
      <c r="F216">
        <v>2.2000000000000002</v>
      </c>
      <c r="G216">
        <v>2</v>
      </c>
      <c r="H216">
        <v>13</v>
      </c>
      <c r="I216">
        <v>8</v>
      </c>
      <c r="J216">
        <v>6</v>
      </c>
      <c r="K216">
        <v>7</v>
      </c>
      <c r="L216">
        <v>6</v>
      </c>
      <c r="M216">
        <v>9</v>
      </c>
      <c r="N216">
        <v>0</v>
      </c>
      <c r="O216">
        <v>0</v>
      </c>
      <c r="P216" s="13">
        <f t="shared" si="28"/>
        <v>16993.668698959911</v>
      </c>
      <c r="Q216">
        <v>15</v>
      </c>
      <c r="R216" s="47">
        <f t="shared" si="29"/>
        <v>11.718000000000002</v>
      </c>
    </row>
    <row r="217" spans="1:19" x14ac:dyDescent="0.15">
      <c r="A217">
        <v>9</v>
      </c>
      <c r="B217" t="s">
        <v>504</v>
      </c>
      <c r="C217">
        <v>30</v>
      </c>
      <c r="D217" s="47">
        <f t="shared" si="27"/>
        <v>592.25761117945979</v>
      </c>
      <c r="E217">
        <v>0</v>
      </c>
      <c r="F217">
        <v>2.2000000000000002</v>
      </c>
      <c r="G217">
        <v>15</v>
      </c>
      <c r="H217">
        <v>13</v>
      </c>
      <c r="I217">
        <v>12</v>
      </c>
      <c r="J217">
        <v>2</v>
      </c>
      <c r="K217">
        <v>15</v>
      </c>
      <c r="L217">
        <v>4</v>
      </c>
      <c r="M217">
        <v>13</v>
      </c>
      <c r="N217">
        <v>0.1</v>
      </c>
      <c r="O217">
        <v>1</v>
      </c>
      <c r="P217" s="13">
        <f t="shared" si="28"/>
        <v>40260.83018039912</v>
      </c>
      <c r="Q217">
        <v>15</v>
      </c>
      <c r="R217" s="47">
        <f t="shared" si="29"/>
        <v>87.884999999999991</v>
      </c>
      <c r="S217" t="s">
        <v>388</v>
      </c>
    </row>
    <row r="218" spans="1:19" x14ac:dyDescent="0.15">
      <c r="A218" s="12" t="s">
        <v>197</v>
      </c>
      <c r="B218" s="51" t="s">
        <v>670</v>
      </c>
      <c r="C218" s="51" t="s">
        <v>181</v>
      </c>
      <c r="D218" s="51" t="s">
        <v>198</v>
      </c>
      <c r="E218" s="51" t="s">
        <v>199</v>
      </c>
      <c r="F218" s="51" t="s">
        <v>200</v>
      </c>
      <c r="G218" s="51" t="s">
        <v>0</v>
      </c>
      <c r="H218" s="51" t="s">
        <v>1</v>
      </c>
      <c r="I218" s="51" t="s">
        <v>82</v>
      </c>
      <c r="J218" s="51" t="s">
        <v>2</v>
      </c>
      <c r="K218" s="51" t="s">
        <v>3</v>
      </c>
      <c r="L218" s="51" t="s">
        <v>442</v>
      </c>
      <c r="M218" s="51" t="s">
        <v>443</v>
      </c>
      <c r="N218" s="51" t="s">
        <v>201</v>
      </c>
      <c r="O218" s="51" t="s">
        <v>391</v>
      </c>
      <c r="P218" s="51" t="s">
        <v>183</v>
      </c>
      <c r="Q218" s="51" t="s">
        <v>182</v>
      </c>
      <c r="R218" s="51" t="s">
        <v>668</v>
      </c>
      <c r="S218" s="52" t="s">
        <v>669</v>
      </c>
    </row>
    <row r="219" spans="1:19" x14ac:dyDescent="0.15">
      <c r="A219" t="s">
        <v>334</v>
      </c>
      <c r="B219" t="s">
        <v>196</v>
      </c>
      <c r="C219">
        <v>30</v>
      </c>
      <c r="D219" s="47">
        <f>(C219+3)*(H219+9)*0.25*F219^1.5</f>
        <v>1001.1573429739329</v>
      </c>
      <c r="E219">
        <v>-17</v>
      </c>
      <c r="F219">
        <v>2.5</v>
      </c>
      <c r="G219">
        <v>14</v>
      </c>
      <c r="H219">
        <v>21.7</v>
      </c>
      <c r="I219">
        <v>12</v>
      </c>
      <c r="J219">
        <v>7</v>
      </c>
      <c r="K219">
        <v>9</v>
      </c>
      <c r="L219">
        <v>14</v>
      </c>
      <c r="M219">
        <v>8</v>
      </c>
      <c r="N219">
        <v>0.32</v>
      </c>
      <c r="O219">
        <v>0</v>
      </c>
      <c r="P219" s="13">
        <f t="shared" si="28"/>
        <v>114987.33640270129</v>
      </c>
      <c r="Q219" s="1" t="s">
        <v>359</v>
      </c>
      <c r="R219" s="47">
        <f>(G219)*(F219+2)*(C219*0.9+4)*0.045</f>
        <v>87.884999999999991</v>
      </c>
      <c r="S219" t="s">
        <v>583</v>
      </c>
    </row>
    <row r="220" spans="1:19" x14ac:dyDescent="0.15">
      <c r="B220" t="s">
        <v>192</v>
      </c>
      <c r="C220">
        <v>40</v>
      </c>
      <c r="D220" s="47">
        <f>(C220+3)*(H220+9)*0.25*F220^1.5</f>
        <v>547.30064863838777</v>
      </c>
      <c r="E220">
        <v>-25</v>
      </c>
      <c r="F220">
        <v>2</v>
      </c>
      <c r="G220">
        <v>8</v>
      </c>
      <c r="H220">
        <v>9</v>
      </c>
      <c r="I220">
        <v>11</v>
      </c>
      <c r="J220">
        <v>10</v>
      </c>
      <c r="K220">
        <v>9</v>
      </c>
      <c r="L220">
        <v>5</v>
      </c>
      <c r="M220">
        <v>8</v>
      </c>
      <c r="N220">
        <v>0.435</v>
      </c>
      <c r="O220">
        <v>1</v>
      </c>
      <c r="P220" s="13">
        <f t="shared" si="28"/>
        <v>184533.32962316123</v>
      </c>
      <c r="Q220" s="1" t="s">
        <v>359</v>
      </c>
      <c r="R220" s="47">
        <f>(G220)*(F220+2)*(C220*0.9+4)*0.045</f>
        <v>57.599999999999994</v>
      </c>
      <c r="S220" t="s">
        <v>328</v>
      </c>
    </row>
    <row r="221" spans="1:19" x14ac:dyDescent="0.15">
      <c r="B221" t="s">
        <v>193</v>
      </c>
      <c r="C221">
        <v>40</v>
      </c>
      <c r="D221" s="47">
        <f>(C221+3)*(H221+9)*0.25*F221^1.5</f>
        <v>1292.2684055566783</v>
      </c>
      <c r="E221">
        <v>-22</v>
      </c>
      <c r="F221">
        <v>3.2</v>
      </c>
      <c r="G221">
        <v>11</v>
      </c>
      <c r="H221">
        <v>12</v>
      </c>
      <c r="I221">
        <v>10</v>
      </c>
      <c r="J221">
        <v>6</v>
      </c>
      <c r="K221">
        <v>9</v>
      </c>
      <c r="L221">
        <v>16</v>
      </c>
      <c r="M221">
        <v>12</v>
      </c>
      <c r="N221">
        <v>0.29499999999999998</v>
      </c>
      <c r="O221">
        <v>1</v>
      </c>
      <c r="P221" s="13">
        <f t="shared" si="28"/>
        <v>250817.63518945381</v>
      </c>
      <c r="Q221" s="1" t="s">
        <v>359</v>
      </c>
      <c r="R221" s="47">
        <f>(G221)*(F221+2)*(C221*0.9+4)*0.045</f>
        <v>102.96</v>
      </c>
      <c r="S221" t="s">
        <v>581</v>
      </c>
    </row>
    <row r="222" spans="1:19" x14ac:dyDescent="0.15">
      <c r="B222" t="s">
        <v>194</v>
      </c>
      <c r="C222">
        <v>40</v>
      </c>
      <c r="D222" s="47">
        <f>(C222+3)*(H222+9)*0.25*F222^1.5</f>
        <v>1689.3583101284348</v>
      </c>
      <c r="E222">
        <v>-19</v>
      </c>
      <c r="F222">
        <v>3.5</v>
      </c>
      <c r="G222">
        <v>15</v>
      </c>
      <c r="H222">
        <v>15</v>
      </c>
      <c r="I222">
        <v>6</v>
      </c>
      <c r="J222">
        <v>4</v>
      </c>
      <c r="K222">
        <v>5</v>
      </c>
      <c r="L222">
        <v>11</v>
      </c>
      <c r="M222">
        <v>6</v>
      </c>
      <c r="N222">
        <v>0.3</v>
      </c>
      <c r="O222">
        <v>1</v>
      </c>
      <c r="P222" s="13">
        <f t="shared" si="28"/>
        <v>235162.07972276543</v>
      </c>
      <c r="Q222" s="1" t="s">
        <v>359</v>
      </c>
      <c r="R222" s="47">
        <f>(G222)*(F222+2)*(C222*0.9+4)*0.045</f>
        <v>148.5</v>
      </c>
      <c r="S222" t="s">
        <v>582</v>
      </c>
    </row>
    <row r="223" spans="1:19" x14ac:dyDescent="0.15">
      <c r="B223" t="s">
        <v>195</v>
      </c>
      <c r="C223">
        <v>40</v>
      </c>
      <c r="D223" s="47">
        <f>(C223+3)*(H223+9)*0.25*F223^1.5</f>
        <v>799.3837626572107</v>
      </c>
      <c r="E223">
        <v>-27</v>
      </c>
      <c r="F223">
        <v>2.4</v>
      </c>
      <c r="G223">
        <v>11</v>
      </c>
      <c r="H223">
        <v>11</v>
      </c>
      <c r="I223">
        <v>13</v>
      </c>
      <c r="J223">
        <v>11</v>
      </c>
      <c r="K223">
        <v>11</v>
      </c>
      <c r="L223">
        <v>6</v>
      </c>
      <c r="M223">
        <v>15</v>
      </c>
      <c r="N223">
        <v>0.33500000000000002</v>
      </c>
      <c r="O223">
        <v>1</v>
      </c>
      <c r="P223" s="13">
        <f t="shared" si="28"/>
        <v>207518.626988515</v>
      </c>
      <c r="Q223" s="1" t="s">
        <v>359</v>
      </c>
      <c r="R223" s="47">
        <f>(G223)*(F223+2)*(C223*0.9+4)*0.045</f>
        <v>87.12</v>
      </c>
      <c r="S223" t="s">
        <v>584</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workbookViewId="0"/>
  </sheetViews>
  <sheetFormatPr defaultRowHeight="13.5" x14ac:dyDescent="0.15"/>
  <cols>
    <col min="1" max="1" width="9" customWidth="1"/>
  </cols>
  <sheetData>
    <row r="1" spans="1:2" x14ac:dyDescent="0.15">
      <c r="A1" t="s">
        <v>704</v>
      </c>
    </row>
    <row r="2" spans="1:2" x14ac:dyDescent="0.15">
      <c r="A2" t="s">
        <v>703</v>
      </c>
    </row>
    <row r="4" spans="1:2" x14ac:dyDescent="0.15">
      <c r="A4" t="s">
        <v>699</v>
      </c>
    </row>
    <row r="5" spans="1:2" x14ac:dyDescent="0.15">
      <c r="A5">
        <v>0</v>
      </c>
      <c r="B5" t="s">
        <v>446</v>
      </c>
    </row>
    <row r="6" spans="1:2" x14ac:dyDescent="0.15">
      <c r="A6">
        <v>1</v>
      </c>
      <c r="B6" t="s">
        <v>447</v>
      </c>
    </row>
    <row r="7" spans="1:2" x14ac:dyDescent="0.15">
      <c r="A7">
        <v>2</v>
      </c>
      <c r="B7" t="s">
        <v>448</v>
      </c>
    </row>
    <row r="8" spans="1:2" x14ac:dyDescent="0.15">
      <c r="A8">
        <v>3</v>
      </c>
      <c r="B8" t="s">
        <v>449</v>
      </c>
    </row>
    <row r="9" spans="1:2" x14ac:dyDescent="0.15">
      <c r="A9">
        <v>4</v>
      </c>
      <c r="B9" t="s">
        <v>335</v>
      </c>
    </row>
    <row r="10" spans="1:2" x14ac:dyDescent="0.15">
      <c r="A10">
        <v>5</v>
      </c>
      <c r="B10" t="s">
        <v>450</v>
      </c>
    </row>
    <row r="11" spans="1:2" x14ac:dyDescent="0.15">
      <c r="A11">
        <v>6</v>
      </c>
      <c r="B11" t="s">
        <v>451</v>
      </c>
    </row>
    <row r="12" spans="1:2" x14ac:dyDescent="0.15">
      <c r="A12">
        <v>7</v>
      </c>
      <c r="B12" t="s">
        <v>453</v>
      </c>
    </row>
    <row r="13" spans="1:2" x14ac:dyDescent="0.15">
      <c r="A13">
        <v>8</v>
      </c>
      <c r="B13" t="s">
        <v>452</v>
      </c>
    </row>
    <row r="14" spans="1:2" x14ac:dyDescent="0.15">
      <c r="A14">
        <v>9</v>
      </c>
      <c r="B14" t="s">
        <v>454</v>
      </c>
    </row>
    <row r="15" spans="1:2" x14ac:dyDescent="0.15">
      <c r="A15">
        <v>10</v>
      </c>
      <c r="B15" t="s">
        <v>455</v>
      </c>
    </row>
    <row r="16" spans="1:2" x14ac:dyDescent="0.15">
      <c r="A16">
        <v>11</v>
      </c>
      <c r="B16" t="s">
        <v>456</v>
      </c>
    </row>
    <row r="17" spans="1:2" x14ac:dyDescent="0.15">
      <c r="A17">
        <v>12</v>
      </c>
      <c r="B17" t="s">
        <v>457</v>
      </c>
    </row>
    <row r="18" spans="1:2" x14ac:dyDescent="0.15">
      <c r="A18">
        <v>13</v>
      </c>
      <c r="B18" t="s">
        <v>458</v>
      </c>
    </row>
    <row r="19" spans="1:2" x14ac:dyDescent="0.15">
      <c r="A19">
        <v>14</v>
      </c>
      <c r="B19" t="s">
        <v>459</v>
      </c>
    </row>
    <row r="20" spans="1:2" x14ac:dyDescent="0.15">
      <c r="A20">
        <v>15</v>
      </c>
      <c r="B20" t="s">
        <v>446</v>
      </c>
    </row>
    <row r="21" spans="1:2" x14ac:dyDescent="0.15">
      <c r="A21">
        <v>16</v>
      </c>
      <c r="B21" t="s">
        <v>446</v>
      </c>
    </row>
    <row r="22" spans="1:2" x14ac:dyDescent="0.15">
      <c r="A22">
        <v>17</v>
      </c>
      <c r="B22" t="s">
        <v>460</v>
      </c>
    </row>
    <row r="23" spans="1:2" x14ac:dyDescent="0.15">
      <c r="A23">
        <v>18</v>
      </c>
      <c r="B23" t="s">
        <v>461</v>
      </c>
    </row>
    <row r="24" spans="1:2" x14ac:dyDescent="0.15">
      <c r="A24">
        <v>19</v>
      </c>
      <c r="B24" t="s">
        <v>462</v>
      </c>
    </row>
    <row r="25" spans="1:2" x14ac:dyDescent="0.15">
      <c r="A25">
        <v>20</v>
      </c>
      <c r="B25" t="s">
        <v>562</v>
      </c>
    </row>
    <row r="26" spans="1:2" x14ac:dyDescent="0.15">
      <c r="A26">
        <v>21</v>
      </c>
      <c r="B26" t="s">
        <v>463</v>
      </c>
    </row>
    <row r="27" spans="1:2" x14ac:dyDescent="0.15">
      <c r="A27">
        <v>22</v>
      </c>
      <c r="B27" t="s">
        <v>464</v>
      </c>
    </row>
    <row r="28" spans="1:2" x14ac:dyDescent="0.15">
      <c r="A28">
        <v>23</v>
      </c>
      <c r="B28" t="s">
        <v>465</v>
      </c>
    </row>
    <row r="29" spans="1:2" x14ac:dyDescent="0.15">
      <c r="A29">
        <v>24</v>
      </c>
      <c r="B29" t="s">
        <v>466</v>
      </c>
    </row>
    <row r="30" spans="1:2" x14ac:dyDescent="0.15">
      <c r="A30">
        <v>25</v>
      </c>
      <c r="B30" t="s">
        <v>467</v>
      </c>
    </row>
    <row r="31" spans="1:2" x14ac:dyDescent="0.15">
      <c r="A31">
        <v>26</v>
      </c>
      <c r="B31" t="s">
        <v>468</v>
      </c>
    </row>
    <row r="32" spans="1:2" x14ac:dyDescent="0.15">
      <c r="A32">
        <v>27</v>
      </c>
      <c r="B32" t="s">
        <v>469</v>
      </c>
    </row>
    <row r="33" spans="1:2" x14ac:dyDescent="0.15">
      <c r="A33">
        <v>28</v>
      </c>
      <c r="B33" t="s">
        <v>563</v>
      </c>
    </row>
    <row r="34" spans="1:2" x14ac:dyDescent="0.15">
      <c r="A34">
        <v>29</v>
      </c>
      <c r="B34" t="s">
        <v>564</v>
      </c>
    </row>
    <row r="35" spans="1:2" x14ac:dyDescent="0.15">
      <c r="A35">
        <v>30</v>
      </c>
      <c r="B35" t="s">
        <v>470</v>
      </c>
    </row>
    <row r="36" spans="1:2" x14ac:dyDescent="0.15">
      <c r="A36">
        <v>31</v>
      </c>
      <c r="B36" t="s">
        <v>565</v>
      </c>
    </row>
    <row r="37" spans="1:2" x14ac:dyDescent="0.15">
      <c r="A37">
        <v>32</v>
      </c>
      <c r="B37" t="s">
        <v>566</v>
      </c>
    </row>
    <row r="38" spans="1:2" x14ac:dyDescent="0.15">
      <c r="A38">
        <v>33</v>
      </c>
      <c r="B38" t="s">
        <v>471</v>
      </c>
    </row>
    <row r="39" spans="1:2" x14ac:dyDescent="0.15">
      <c r="A39">
        <v>34</v>
      </c>
      <c r="B39" t="s">
        <v>567</v>
      </c>
    </row>
    <row r="40" spans="1:2" x14ac:dyDescent="0.15">
      <c r="A40">
        <v>35</v>
      </c>
      <c r="B40" t="s">
        <v>568</v>
      </c>
    </row>
    <row r="41" spans="1:2" x14ac:dyDescent="0.15">
      <c r="A41">
        <v>36</v>
      </c>
      <c r="B41" t="s">
        <v>472</v>
      </c>
    </row>
    <row r="42" spans="1:2" x14ac:dyDescent="0.15">
      <c r="A42">
        <v>37</v>
      </c>
      <c r="B42" t="s">
        <v>473</v>
      </c>
    </row>
    <row r="43" spans="1:2" x14ac:dyDescent="0.15">
      <c r="A43">
        <v>38</v>
      </c>
      <c r="B43" t="s">
        <v>571</v>
      </c>
    </row>
    <row r="44" spans="1:2" x14ac:dyDescent="0.15">
      <c r="A44">
        <v>39</v>
      </c>
      <c r="B44" t="s">
        <v>572</v>
      </c>
    </row>
    <row r="45" spans="1:2" x14ac:dyDescent="0.15">
      <c r="A45">
        <v>40</v>
      </c>
      <c r="B45" t="s">
        <v>474</v>
      </c>
    </row>
    <row r="46" spans="1:2" x14ac:dyDescent="0.15">
      <c r="A46">
        <v>41</v>
      </c>
      <c r="B46" t="s">
        <v>475</v>
      </c>
    </row>
    <row r="47" spans="1:2" x14ac:dyDescent="0.15">
      <c r="A47">
        <v>42</v>
      </c>
      <c r="B47" t="s">
        <v>476</v>
      </c>
    </row>
    <row r="48" spans="1:2" x14ac:dyDescent="0.15">
      <c r="A48">
        <v>43</v>
      </c>
      <c r="B48" t="s">
        <v>477</v>
      </c>
    </row>
    <row r="49" spans="1:2" x14ac:dyDescent="0.15">
      <c r="A49">
        <v>44</v>
      </c>
      <c r="B49" t="s">
        <v>478</v>
      </c>
    </row>
    <row r="50" spans="1:2" x14ac:dyDescent="0.15">
      <c r="A50">
        <v>45</v>
      </c>
      <c r="B50" t="s">
        <v>479</v>
      </c>
    </row>
    <row r="51" spans="1:2" x14ac:dyDescent="0.15">
      <c r="A51">
        <v>46</v>
      </c>
      <c r="B51" t="s">
        <v>480</v>
      </c>
    </row>
    <row r="52" spans="1:2" x14ac:dyDescent="0.15">
      <c r="A52">
        <v>47</v>
      </c>
      <c r="B52" t="s">
        <v>481</v>
      </c>
    </row>
    <row r="53" spans="1:2" x14ac:dyDescent="0.15">
      <c r="A53">
        <v>48</v>
      </c>
      <c r="B53" t="s">
        <v>702</v>
      </c>
    </row>
    <row r="54" spans="1:2" x14ac:dyDescent="0.15">
      <c r="A54">
        <v>49</v>
      </c>
      <c r="B54" t="s">
        <v>482</v>
      </c>
    </row>
    <row r="55" spans="1:2" x14ac:dyDescent="0.15">
      <c r="A55">
        <v>50</v>
      </c>
      <c r="B55" t="s">
        <v>483</v>
      </c>
    </row>
    <row r="56" spans="1:2" x14ac:dyDescent="0.15">
      <c r="A56">
        <v>51</v>
      </c>
      <c r="B56" t="s">
        <v>484</v>
      </c>
    </row>
    <row r="57" spans="1:2" x14ac:dyDescent="0.15">
      <c r="A57">
        <v>52</v>
      </c>
      <c r="B57" t="s">
        <v>485</v>
      </c>
    </row>
    <row r="58" spans="1:2" x14ac:dyDescent="0.15">
      <c r="A58">
        <v>53</v>
      </c>
      <c r="B58" t="s">
        <v>486</v>
      </c>
    </row>
    <row r="59" spans="1:2" x14ac:dyDescent="0.15">
      <c r="A59">
        <v>54</v>
      </c>
      <c r="B59" t="s">
        <v>487</v>
      </c>
    </row>
    <row r="60" spans="1:2" x14ac:dyDescent="0.15">
      <c r="A60">
        <v>55</v>
      </c>
      <c r="B60" t="s">
        <v>488</v>
      </c>
    </row>
    <row r="61" spans="1:2" x14ac:dyDescent="0.15">
      <c r="A61">
        <v>56</v>
      </c>
      <c r="B61" t="s">
        <v>701</v>
      </c>
    </row>
    <row r="62" spans="1:2" x14ac:dyDescent="0.15">
      <c r="A62">
        <v>57</v>
      </c>
      <c r="B62" t="s">
        <v>489</v>
      </c>
    </row>
    <row r="63" spans="1:2" x14ac:dyDescent="0.15">
      <c r="A63">
        <v>58</v>
      </c>
      <c r="B63" t="s">
        <v>490</v>
      </c>
    </row>
    <row r="64" spans="1:2" x14ac:dyDescent="0.15">
      <c r="A64">
        <v>59</v>
      </c>
      <c r="B64" t="s">
        <v>700</v>
      </c>
    </row>
    <row r="65" spans="1:2" x14ac:dyDescent="0.15">
      <c r="A65">
        <v>60</v>
      </c>
      <c r="B65" t="s">
        <v>491</v>
      </c>
    </row>
    <row r="66" spans="1:2" x14ac:dyDescent="0.15">
      <c r="A66">
        <v>61</v>
      </c>
      <c r="B66" t="s">
        <v>492</v>
      </c>
    </row>
    <row r="67" spans="1:2" x14ac:dyDescent="0.15">
      <c r="A67">
        <v>62</v>
      </c>
      <c r="B67" t="s">
        <v>493</v>
      </c>
    </row>
    <row r="68" spans="1:2" x14ac:dyDescent="0.15">
      <c r="A68">
        <v>63</v>
      </c>
      <c r="B68" t="s">
        <v>494</v>
      </c>
    </row>
    <row r="69" spans="1:2" x14ac:dyDescent="0.15">
      <c r="A69">
        <v>64</v>
      </c>
      <c r="B69" t="s">
        <v>434</v>
      </c>
    </row>
    <row r="70" spans="1:2" x14ac:dyDescent="0.15">
      <c r="A70">
        <v>65</v>
      </c>
      <c r="B70" t="s">
        <v>435</v>
      </c>
    </row>
    <row r="71" spans="1:2" x14ac:dyDescent="0.15">
      <c r="A71">
        <v>66</v>
      </c>
      <c r="B71" t="s">
        <v>436</v>
      </c>
    </row>
    <row r="72" spans="1:2" x14ac:dyDescent="0.15">
      <c r="A72">
        <v>67</v>
      </c>
      <c r="B72" t="s">
        <v>437</v>
      </c>
    </row>
    <row r="73" spans="1:2" x14ac:dyDescent="0.15">
      <c r="A73">
        <v>68</v>
      </c>
      <c r="B73" t="s">
        <v>573</v>
      </c>
    </row>
    <row r="74" spans="1:2" x14ac:dyDescent="0.15">
      <c r="A74">
        <v>69</v>
      </c>
      <c r="B74" t="s">
        <v>434</v>
      </c>
    </row>
    <row r="75" spans="1:2" x14ac:dyDescent="0.15">
      <c r="A75">
        <v>70</v>
      </c>
      <c r="B75" t="s">
        <v>435</v>
      </c>
    </row>
    <row r="76" spans="1:2" x14ac:dyDescent="0.15">
      <c r="A76">
        <v>71</v>
      </c>
      <c r="B76" t="s">
        <v>436</v>
      </c>
    </row>
    <row r="77" spans="1:2" x14ac:dyDescent="0.15">
      <c r="A77">
        <v>72</v>
      </c>
      <c r="B77" t="s">
        <v>437</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色々</vt:lpstr>
      <vt:lpstr>アイテム</vt:lpstr>
      <vt:lpstr>宝</vt:lpstr>
      <vt:lpstr>モンスター</vt:lpstr>
      <vt:lpstr>フラグ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watanabe</cp:lastModifiedBy>
  <dcterms:created xsi:type="dcterms:W3CDTF">2014-11-04T12:48:26Z</dcterms:created>
  <dcterms:modified xsi:type="dcterms:W3CDTF">2017-03-02T23:30:23Z</dcterms:modified>
</cp:coreProperties>
</file>